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1970" windowHeight="3405" tabRatio="764" activeTab="0"/>
  </bookViews>
  <sheets>
    <sheet name="Bedrijfsgegevens" sheetId="1" r:id="rId1"/>
    <sheet name="saldo" sheetId="2" r:id="rId2"/>
    <sheet name="niet toeger.kosten" sheetId="3" r:id="rId3"/>
  </sheets>
  <definedNames>
    <definedName name="_xlnm.Print_Area" localSheetId="0">'Bedrijfsgegevens'!$B$3:$H$140</definedName>
    <definedName name="_xlnm.Print_Area" localSheetId="2">'niet toeger.kosten'!$B$2:$S$50</definedName>
    <definedName name="_xlnm.Print_Area" localSheetId="1">'saldo'!$B$2:$K$38</definedName>
    <definedName name="_xlnm.Print_Titles" localSheetId="1">'saldo'!$2:$3</definedName>
  </definedNames>
  <calcPr fullCalcOnLoad="1"/>
</workbook>
</file>

<file path=xl/comments1.xml><?xml version="1.0" encoding="utf-8"?>
<comments xmlns="http://schemas.openxmlformats.org/spreadsheetml/2006/main">
  <authors>
    <author>Storkhorst</author>
  </authors>
  <commentList>
    <comment ref="E17" authorId="0">
      <text>
        <r>
          <rPr>
            <sz val="9"/>
            <rFont val="Tahoma"/>
            <family val="2"/>
          </rPr>
          <t>bijv. 5 ha: 2 km; 4 ha: 4 km</t>
        </r>
      </text>
    </comment>
    <comment ref="E19" authorId="0">
      <text>
        <r>
          <rPr>
            <sz val="9"/>
            <rFont val="Tahoma"/>
            <family val="2"/>
          </rPr>
          <t>bijv. 15 ha goed; 10 ha matig</t>
        </r>
      </text>
    </comment>
    <comment ref="E20" authorId="0">
      <text>
        <r>
          <rPr>
            <sz val="9"/>
            <rFont val="Tahoma"/>
            <family val="2"/>
          </rPr>
          <t>bijv. 6 ha</t>
        </r>
      </text>
    </comment>
    <comment ref="D29" authorId="0">
      <text>
        <r>
          <rPr>
            <sz val="9"/>
            <rFont val="Tahoma"/>
            <family val="2"/>
          </rPr>
          <t>bijv. 200 zeugen,500 vleesvarkens</t>
        </r>
      </text>
    </comment>
  </commentList>
</comments>
</file>

<file path=xl/sharedStrings.xml><?xml version="1.0" encoding="utf-8"?>
<sst xmlns="http://schemas.openxmlformats.org/spreadsheetml/2006/main" count="429" uniqueCount="355">
  <si>
    <t>Ha's grasland</t>
  </si>
  <si>
    <t>soort gewas:</t>
  </si>
  <si>
    <t>aantal ha:</t>
  </si>
  <si>
    <t>Arbeid: aantal V.AK's</t>
  </si>
  <si>
    <t>in fokzeugen</t>
  </si>
  <si>
    <t>in rundvee</t>
  </si>
  <si>
    <t>in vleesvarkens</t>
  </si>
  <si>
    <t>in overig</t>
  </si>
  <si>
    <t>(van dat boekjaar)</t>
  </si>
  <si>
    <t>waarvan eigendom:</t>
  </si>
  <si>
    <t>waarvan pacht</t>
  </si>
  <si>
    <t>Alleen de gele cellen invullen!!</t>
  </si>
  <si>
    <t>Datum:</t>
  </si>
  <si>
    <t>Aantal</t>
  </si>
  <si>
    <t>heid</t>
  </si>
  <si>
    <t>Toegerekende kosten</t>
  </si>
  <si>
    <t>bedrag</t>
  </si>
  <si>
    <t>aantal</t>
  </si>
  <si>
    <t>totaal</t>
  </si>
  <si>
    <t>saldo</t>
  </si>
  <si>
    <t>waarde</t>
  </si>
  <si>
    <t>Bedrijfsbegroting</t>
  </si>
  <si>
    <t>ber. rente</t>
  </si>
  <si>
    <t>eenh.</t>
  </si>
  <si>
    <t>of %</t>
  </si>
  <si>
    <t>Bedrijfssaldo</t>
  </si>
  <si>
    <t>(a)</t>
  </si>
  <si>
    <t>hoeveel-</t>
  </si>
  <si>
    <t>prijs</t>
  </si>
  <si>
    <t>afschrijving</t>
  </si>
  <si>
    <t>Niet-toegerekende kosten</t>
  </si>
  <si>
    <t>a %</t>
  </si>
  <si>
    <t>r  %</t>
  </si>
  <si>
    <t>o %</t>
  </si>
  <si>
    <t>in %</t>
  </si>
  <si>
    <t>Gepachte grond + onderhoud (prijs: / ha)</t>
  </si>
  <si>
    <t>Gepachte gebouwen + onderhoud</t>
  </si>
  <si>
    <t>Grond- en waterschapslasten</t>
  </si>
  <si>
    <t>Grondrente</t>
  </si>
  <si>
    <t>Bedrijfsterrein</t>
  </si>
  <si>
    <t>Drainage</t>
  </si>
  <si>
    <t>aant.ha</t>
  </si>
  <si>
    <t>aantal jr. oud</t>
  </si>
  <si>
    <t>Machines/werktuigen</t>
  </si>
  <si>
    <t>Te betalen loon vreemd</t>
  </si>
  <si>
    <t>Te betalen loon meewerkende gezinsleden</t>
  </si>
  <si>
    <t>Berekend loon meewerkende gezinsleden</t>
  </si>
  <si>
    <t>Berekend loon ondernemer 1</t>
  </si>
  <si>
    <t>Berekend loon ondernemer 2</t>
  </si>
  <si>
    <t>Berekend loon ondernemer 3</t>
  </si>
  <si>
    <t>Algemene kosten</t>
  </si>
  <si>
    <t>Totaal niet-toegerekende kosten</t>
  </si>
  <si>
    <t>(= bedrijfssaldo - niet-toegerekende kosten)</t>
  </si>
  <si>
    <t>Berekend arbeidsloon ondernemer(s)</t>
  </si>
  <si>
    <t>Arbeidsinkomen ondernemer(s)</t>
  </si>
  <si>
    <t>Netto bedrijfsresultaat</t>
  </si>
  <si>
    <t>Berekende rente</t>
  </si>
  <si>
    <t>Naam</t>
  </si>
  <si>
    <t>Productierechten</t>
  </si>
  <si>
    <t>Totale ha's (kadastraal)</t>
  </si>
  <si>
    <t>Totale ha's (cultuurgrond)</t>
  </si>
  <si>
    <t>Loonwerk grasland</t>
  </si>
  <si>
    <t>Jaar</t>
  </si>
  <si>
    <t>Postcode</t>
  </si>
  <si>
    <t>Ondernemers</t>
  </si>
  <si>
    <t>Meewerkende gezinsleden</t>
  </si>
  <si>
    <t>Andere gezinsleden</t>
  </si>
  <si>
    <t>Aantal kavels op afstand resp. grootte (ha´s)</t>
  </si>
  <si>
    <t>Meest voorkomende grondsoort</t>
  </si>
  <si>
    <t>Ontwatering</t>
  </si>
  <si>
    <t>Droogtegevoeligheid</t>
  </si>
  <si>
    <t>Milieuvergunning (voor welk aantal dieren)</t>
  </si>
  <si>
    <t>Opbrengsten</t>
  </si>
  <si>
    <t>onderhoud</t>
  </si>
  <si>
    <t>reste-</t>
  </si>
  <si>
    <t>rende</t>
  </si>
  <si>
    <t>duur</t>
  </si>
  <si>
    <t>levens-</t>
  </si>
  <si>
    <t>balans</t>
  </si>
  <si>
    <t>begin-</t>
  </si>
  <si>
    <t>fosfaatproduktie/ha</t>
  </si>
  <si>
    <t>controleberekening:</t>
  </si>
  <si>
    <t>Grootte van de huiskavel (ha´s)</t>
  </si>
  <si>
    <t>Datum</t>
  </si>
  <si>
    <t>Omschrijving situatie:</t>
  </si>
  <si>
    <t xml:space="preserve">Omschrijving situatie:  </t>
  </si>
  <si>
    <t>Huur werktuigen + brandstof+smeermidd.</t>
  </si>
  <si>
    <t>Loonwerk maïsland + overig loonwerk</t>
  </si>
  <si>
    <t>gekocht</t>
  </si>
  <si>
    <t>Soort veredeling ---&gt;</t>
  </si>
  <si>
    <t>(per gem. aanw.zeug / jaar)</t>
  </si>
  <si>
    <t>Prijs</t>
  </si>
  <si>
    <t>Bedrag</t>
  </si>
  <si>
    <t>biggen</t>
  </si>
  <si>
    <t>aant.zeugen uitgevallen</t>
  </si>
  <si>
    <t>aant.opfokz.uitgevallen</t>
  </si>
  <si>
    <t>aant.beren uitgevallen</t>
  </si>
  <si>
    <t>vleesvarkens</t>
  </si>
  <si>
    <t>Totaal opbrensten</t>
  </si>
  <si>
    <t>Aankopen :</t>
  </si>
  <si>
    <t>vervanging fokzeugen (aant. gekocht/zeug/jaar)</t>
  </si>
  <si>
    <t>vervanging beren (aant. gekocht/zeug/jaar)</t>
  </si>
  <si>
    <t>Aankoop  :</t>
  </si>
  <si>
    <t>mestbig</t>
  </si>
  <si>
    <t>Krachtvoer :</t>
  </si>
  <si>
    <t>kg voer/big</t>
  </si>
  <si>
    <t>zeug incl. opfokz.+beer</t>
  </si>
  <si>
    <t>mestvarkens (prijs voerpakket per kg)</t>
  </si>
  <si>
    <t>Strooisel + verwarming</t>
  </si>
  <si>
    <t>Sterfterisico of verzekering</t>
  </si>
  <si>
    <t>Veearts en ziektebestrijding</t>
  </si>
  <si>
    <t>Dekgeld / KI</t>
  </si>
  <si>
    <t>Afleveringskosten</t>
  </si>
  <si>
    <t>Loonwerk</t>
  </si>
  <si>
    <t>Aandeel algemene kosten o.a.:</t>
  </si>
  <si>
    <t xml:space="preserve">Toegerekende kosten </t>
  </si>
  <si>
    <t xml:space="preserve">Saldo per stuk </t>
  </si>
  <si>
    <t>(totaal verkopen - toegerekende kosten)</t>
  </si>
  <si>
    <t>Omzetsnelheid per jaar (= rondes / jaar)</t>
  </si>
  <si>
    <t>Saldo per jaar</t>
  </si>
  <si>
    <t>(saldo per stuk x aaantal rondes/jaar)</t>
  </si>
  <si>
    <t xml:space="preserve"> - aantal zeugenplaatsen</t>
  </si>
  <si>
    <t xml:space="preserve"> - aantal gem. aanwezige beren</t>
  </si>
  <si>
    <t xml:space="preserve"> - afgeleverde biggen per g.a. zeug</t>
  </si>
  <si>
    <t xml:space="preserve"> - aantal vleesvarkenplaatsen</t>
  </si>
  <si>
    <t xml:space="preserve"> - aantal gem. aanwezige vleesvarkens</t>
  </si>
  <si>
    <t xml:space="preserve"> - opleggewicht</t>
  </si>
  <si>
    <t xml:space="preserve"> - gem. aantal groeidagen</t>
  </si>
  <si>
    <t xml:space="preserve"> - % uitval</t>
  </si>
  <si>
    <t xml:space="preserve"> - hokbezetting</t>
  </si>
  <si>
    <t xml:space="preserve">Gewassen:  </t>
  </si>
  <si>
    <t xml:space="preserve"> - gem. aanwezige zeugen</t>
  </si>
  <si>
    <t xml:space="preserve"> - gem. aanwezige opfokzeugen</t>
  </si>
  <si>
    <t xml:space="preserve"> - % uitval opfokzeugen</t>
  </si>
  <si>
    <t xml:space="preserve"> - % ingezette opfokzeugen</t>
  </si>
  <si>
    <t xml:space="preserve"> - % ingezette zeugen</t>
  </si>
  <si>
    <t xml:space="preserve"> - % uitval zeugen</t>
  </si>
  <si>
    <t xml:space="preserve"> - verliesdagen uitval zeugen</t>
  </si>
  <si>
    <t xml:space="preserve"> - gemiddelde worpnummer</t>
  </si>
  <si>
    <t xml:space="preserve"> - % eerste worpszeugen</t>
  </si>
  <si>
    <t xml:space="preserve"> - sterfte % na spenen</t>
  </si>
  <si>
    <t>zeugen</t>
  </si>
  <si>
    <t>Uniforme kengetallen</t>
  </si>
  <si>
    <t xml:space="preserve"> - bedrijfsworpindex</t>
  </si>
  <si>
    <t xml:space="preserve"> - gespeende biggen per zeug</t>
  </si>
  <si>
    <t xml:space="preserve"> - gem. leeftijd aankoop/opleg</t>
  </si>
  <si>
    <t xml:space="preserve"> - leeftijd eerste inzet zeugen</t>
  </si>
  <si>
    <t xml:space="preserve"> - gem. leeftijd uitval opfokzeugen</t>
  </si>
  <si>
    <t xml:space="preserve"> - % herinseminaties</t>
  </si>
  <si>
    <t xml:space="preserve"> - % onregelmatige inseminaties</t>
  </si>
  <si>
    <t xml:space="preserve"> - % overinseminaties</t>
  </si>
  <si>
    <t xml:space="preserve"> - % non return op 56 dagen</t>
  </si>
  <si>
    <t xml:space="preserve"> - afbigpercentage</t>
  </si>
  <si>
    <t xml:space="preserve"> - afbigpercentage van de 1e insem.</t>
  </si>
  <si>
    <t xml:space="preserve"> - interval spenen - 1e insem.</t>
  </si>
  <si>
    <t xml:space="preserve"> - interval 1e insem. - laatste insem.</t>
  </si>
  <si>
    <t xml:space="preserve"> - gem. dagen zoogperiode</t>
  </si>
  <si>
    <t xml:space="preserve"> - tussenworptijd</t>
  </si>
  <si>
    <t xml:space="preserve"> - zeugworpindex</t>
  </si>
  <si>
    <t xml:space="preserve"> - levend geboren biggen / worp</t>
  </si>
  <si>
    <t xml:space="preserve"> - dood geboren biggen per worp</t>
  </si>
  <si>
    <t xml:space="preserve"> - sterfte-% tot spenen</t>
  </si>
  <si>
    <t xml:space="preserve"> - gespeende biggen per worp</t>
  </si>
  <si>
    <t xml:space="preserve"> - gemiddeld aflevergewicht biggen</t>
  </si>
  <si>
    <t xml:space="preserve"> - gemiddeld afleverleeftijd biggen</t>
  </si>
  <si>
    <t xml:space="preserve"> - gemiddelde biggengroei / dag (gram)</t>
  </si>
  <si>
    <t xml:space="preserve"> - groei per dier per dag (gram)</t>
  </si>
  <si>
    <t xml:space="preserve"> - bezettingsgraad</t>
  </si>
  <si>
    <t xml:space="preserve"> - kg voeropname / dier / dag</t>
  </si>
  <si>
    <t xml:space="preserve"> - voerconversie</t>
  </si>
  <si>
    <t xml:space="preserve"> - EW voeropname / dier / dag</t>
  </si>
  <si>
    <t xml:space="preserve"> - EW-conversie</t>
  </si>
  <si>
    <t xml:space="preserve"> - gecorrigeerde groei /dier /dag</t>
  </si>
  <si>
    <t xml:space="preserve"> - gecorrigeerde EW-conversie</t>
  </si>
  <si>
    <t xml:space="preserve"> - kg geslacht gewicht</t>
  </si>
  <si>
    <t xml:space="preserve"> - levend gewicht</t>
  </si>
  <si>
    <t xml:space="preserve"> - vlees %</t>
  </si>
  <si>
    <t xml:space="preserve"> - % AA</t>
  </si>
  <si>
    <t xml:space="preserve"> - kg biggenvoer/opgelegde big</t>
  </si>
  <si>
    <t xml:space="preserve"> - kg overgangsvoer/opgelegde big</t>
  </si>
  <si>
    <t>vleesvarken</t>
  </si>
  <si>
    <t>(per afgeleverd dier)</t>
  </si>
  <si>
    <t>afg.big/zg/jr x</t>
  </si>
  <si>
    <t>diversen</t>
  </si>
  <si>
    <t>Rente vee, grond, voer-/kasgeld (in %)</t>
  </si>
  <si>
    <t>verkochte biggen / gem.aanw. zeugen</t>
  </si>
  <si>
    <t xml:space="preserve"> - totaal kg voer / vleesvarken</t>
  </si>
  <si>
    <t>(water, elektriciteit, telefoon,</t>
  </si>
  <si>
    <t>vervoer, administratie, etc.)</t>
  </si>
  <si>
    <t>fokzeugen</t>
  </si>
  <si>
    <t>Mestheffing/kosten</t>
  </si>
  <si>
    <t>Gebouwen</t>
  </si>
  <si>
    <t>printen bij voorkeur in zwart / wit!</t>
  </si>
  <si>
    <t>Productieresultaat</t>
  </si>
  <si>
    <t>Naam leerling</t>
  </si>
  <si>
    <t>Klas</t>
  </si>
  <si>
    <t>zand</t>
  </si>
  <si>
    <t>goed</t>
  </si>
  <si>
    <t>nee</t>
  </si>
  <si>
    <t>maïs</t>
  </si>
  <si>
    <t>gekochte gelten gekocht/zeug/jaar)</t>
  </si>
  <si>
    <t xml:space="preserve"> - biggenprijs / big</t>
  </si>
  <si>
    <t xml:space="preserve"> - opbrengst / kg geslacht gewicht</t>
  </si>
  <si>
    <t xml:space="preserve"> - pakketprijs krachtvoer / 100 kg</t>
  </si>
  <si>
    <t>gekochte beren / jaar</t>
  </si>
  <si>
    <t>zeugen uitgevallen</t>
  </si>
  <si>
    <t>opfokz.uitgevallen</t>
  </si>
  <si>
    <t>beren uitgevallen</t>
  </si>
  <si>
    <t>gekochte mestbig</t>
  </si>
  <si>
    <t>prijs biggenvoer / 100 kg</t>
  </si>
  <si>
    <t>kg voer / zeug</t>
  </si>
  <si>
    <t>prijs zeugenvoer / 100 kg (incl. gelten + beren)</t>
  </si>
  <si>
    <t>pakketprijs voer vleesvarkens totaal</t>
  </si>
  <si>
    <t>kg voer / big</t>
  </si>
  <si>
    <t>Per zeug</t>
  </si>
  <si>
    <t>Per afgelev. vleesvarken</t>
  </si>
  <si>
    <t>(water, elektr., telefoon,</t>
  </si>
  <si>
    <t>Waarde vee, grond, voer-/kasgeld (in %)</t>
  </si>
  <si>
    <t>heffing, vervoer, administratie, etc.)</t>
  </si>
  <si>
    <t>Rente %</t>
  </si>
  <si>
    <t>prijs/big</t>
  </si>
  <si>
    <t>opbr. biggen</t>
  </si>
  <si>
    <t>aant. uitgev.zeug</t>
  </si>
  <si>
    <t>prijs uitgev.zeug</t>
  </si>
  <si>
    <t>opbr.uitgev.zeug</t>
  </si>
  <si>
    <t>aant. uitgev.opfokz.</t>
  </si>
  <si>
    <t>prijs uitgev.opfokz.</t>
  </si>
  <si>
    <t>opbr.uitgev.opfokz.</t>
  </si>
  <si>
    <t>aant. uitgev.beer</t>
  </si>
  <si>
    <t>prijs uitgev.beer</t>
  </si>
  <si>
    <t>opbr.uitgev.beer</t>
  </si>
  <si>
    <t>kg. gesl.gew. vl.v.</t>
  </si>
  <si>
    <t>prijs/kg gesl.gew.</t>
  </si>
  <si>
    <t>op./vl.v.</t>
  </si>
  <si>
    <t>tot.opbr./zeug</t>
  </si>
  <si>
    <t>tot.opbr./vl.v.</t>
  </si>
  <si>
    <t>verv.fokz.aantal</t>
  </si>
  <si>
    <t>verv.fokz.prijs</t>
  </si>
  <si>
    <t>verv.fokz.kosten</t>
  </si>
  <si>
    <t>verv.beren.aantal</t>
  </si>
  <si>
    <t>verv.beren.prijs</t>
  </si>
  <si>
    <t>verv.beren.kosten</t>
  </si>
  <si>
    <t>aankoop mestbig</t>
  </si>
  <si>
    <t>krachtvoer biggen: kg/big</t>
  </si>
  <si>
    <t>aantal b/z/jr</t>
  </si>
  <si>
    <t>kg biggenvoer/zeug</t>
  </si>
  <si>
    <t>prijs/kg biggenvoer</t>
  </si>
  <si>
    <t>kosten biggenvoer/zeug</t>
  </si>
  <si>
    <t>kg zeugenvoer/zeug</t>
  </si>
  <si>
    <t>prijs/kg zeugenvoer</t>
  </si>
  <si>
    <t>dekgeld /KI</t>
  </si>
  <si>
    <t>rente%</t>
  </si>
  <si>
    <t>rente: waarde / fokzeug</t>
  </si>
  <si>
    <t>rente: bedrag / fokzeug</t>
  </si>
  <si>
    <t>rente: waarde / vleesv.</t>
  </si>
  <si>
    <t>rente: bedrag / afgelev. vleesv.</t>
  </si>
  <si>
    <t>loonwerk: fokzeugen</t>
  </si>
  <si>
    <t>loonwerk: vleesv.</t>
  </si>
  <si>
    <t>alg. kosten: fokzeugen</t>
  </si>
  <si>
    <t>alg. kosten: vleesv.</t>
  </si>
  <si>
    <t>tot.toeger.kosten / fokzeug</t>
  </si>
  <si>
    <t>saldo / fokzeug</t>
  </si>
  <si>
    <t>tot.toeger.kosten / vleesv.</t>
  </si>
  <si>
    <t>saldo / afgelev. vleesv.</t>
  </si>
  <si>
    <t>rondes / jaar</t>
  </si>
  <si>
    <t>saldo/gem.aanw.vleesv.</t>
  </si>
  <si>
    <t>voer vleesv. kosten</t>
  </si>
  <si>
    <t>voer vleesv. prijs</t>
  </si>
  <si>
    <t>voer vleesv. kg</t>
  </si>
  <si>
    <t>strooisel + verwarming fokz.</t>
  </si>
  <si>
    <t>strooisel + verwarming vl.v.</t>
  </si>
  <si>
    <t>sterfterisico vl.v. %</t>
  </si>
  <si>
    <t>sterfterisico vl.v. kosten</t>
  </si>
  <si>
    <t>hieronder is blauw van vleesvarkens</t>
  </si>
  <si>
    <t>veearts: fokzeug</t>
  </si>
  <si>
    <t>veearts: vleesv.</t>
  </si>
  <si>
    <t>totaal aantal fouten:</t>
  </si>
  <si>
    <t>Niet toegerekende kosten</t>
  </si>
  <si>
    <t>Pachtgrond: prijs/ha</t>
  </si>
  <si>
    <t>Gepachte gebouwen + onderhoud: totaal bedrag</t>
  </si>
  <si>
    <t>Grond- en waterschapslasten: prijs/ha</t>
  </si>
  <si>
    <t>Grond: waarde/ha</t>
  </si>
  <si>
    <t>Drainage aantal ha</t>
  </si>
  <si>
    <t>: resp. waarde BB + afschr./jaar</t>
  </si>
  <si>
    <t>geleasd</t>
  </si>
  <si>
    <t>: resp. hoeveelheid + prijs</t>
  </si>
  <si>
    <t>Mestkosten totaalbedrag</t>
  </si>
  <si>
    <t>jaren oud</t>
  </si>
  <si>
    <t>vervangings-
waarde</t>
  </si>
  <si>
    <t>% afschr.</t>
  </si>
  <si>
    <t>%onderhoud</t>
  </si>
  <si>
    <t>resterende levensduur</t>
  </si>
  <si>
    <t>drainage</t>
  </si>
  <si>
    <t>gebouwen fokzeugen</t>
  </si>
  <si>
    <t>gebouwen vleesvarkens</t>
  </si>
  <si>
    <t>machines /werktuigen</t>
  </si>
  <si>
    <t>restwaarde van de machines (%):</t>
  </si>
  <si>
    <t>aantal VAK</t>
  </si>
  <si>
    <t>bedrag/VAK</t>
  </si>
  <si>
    <t>totaal bedrag</t>
  </si>
  <si>
    <t>alleen bedragen beoordeeld, geen %</t>
  </si>
  <si>
    <t>rest.
lev.d.</t>
  </si>
  <si>
    <t>balans
waarde</t>
  </si>
  <si>
    <t>drainage + gebouwen</t>
  </si>
  <si>
    <t>rente</t>
  </si>
  <si>
    <t>onderh.</t>
  </si>
  <si>
    <t>productierechten gekocht</t>
  </si>
  <si>
    <t>drainage (jaren oud, ver.w. tot.)</t>
  </si>
  <si>
    <t>als er een 1 in een cel staat is dat onderdeel fout</t>
  </si>
  <si>
    <t>zoek zelf in betreffende rij de fout</t>
  </si>
  <si>
    <t>grond + mestkosten</t>
  </si>
  <si>
    <t>aantal ha pacht</t>
  </si>
  <si>
    <t>machines/werktuigen</t>
  </si>
  <si>
    <t>pacht/ha</t>
  </si>
  <si>
    <t>totalen</t>
  </si>
  <si>
    <t>totaal pacht van grond</t>
  </si>
  <si>
    <t>totaal pacht gebouwen</t>
  </si>
  <si>
    <t>grond- en waterschap totaal</t>
  </si>
  <si>
    <t>grondrente</t>
  </si>
  <si>
    <t>prod.rechten</t>
  </si>
  <si>
    <t>verv.w. + afschr.</t>
  </si>
  <si>
    <t>totaal kosten</t>
  </si>
  <si>
    <t>Totaal aantal fouten</t>
  </si>
  <si>
    <t>v43</t>
  </si>
  <si>
    <t>totaal rente fokzeugen</t>
  </si>
  <si>
    <t>totaal rente vleesvarkens</t>
  </si>
  <si>
    <t>% rente of bedrag fokzeugen</t>
  </si>
  <si>
    <t>aantal eenheden fokzeugen</t>
  </si>
  <si>
    <t>bruto opbr./fokzeug</t>
  </si>
  <si>
    <t>saldo/fokzeug</t>
  </si>
  <si>
    <t>totaal saldo fokzeugen</t>
  </si>
  <si>
    <t>aantal eenheden vleesvarkens</t>
  </si>
  <si>
    <t>bruto opbr./gem.aanw.vleesv.</t>
  </si>
  <si>
    <t>totaal saldo vleesvarkens</t>
  </si>
  <si>
    <t>% rente of bedrag vleesvarkens</t>
  </si>
  <si>
    <t>aantal ha's eigendom</t>
  </si>
  <si>
    <t>waarde per ha</t>
  </si>
  <si>
    <t>mestheffing/-kosten</t>
  </si>
  <si>
    <t>waarde grond</t>
  </si>
  <si>
    <t>bedrijfsterrein</t>
  </si>
  <si>
    <t>prijs vleesvarkens (per kg geslacht gewicht)</t>
  </si>
  <si>
    <t>saldo/gem. aanw. eenheid</t>
  </si>
  <si>
    <t>bruto opbr. /</t>
  </si>
  <si>
    <t>gem. aanw.</t>
  </si>
  <si>
    <t>eenheden</t>
  </si>
  <si>
    <t>gem.aanw.</t>
  </si>
  <si>
    <t>Prijs (in euro's)</t>
  </si>
  <si>
    <t>Vul je naam in. Alle gele cellen invullen op het formulier niet toeger.kosten!!</t>
  </si>
  <si>
    <t>Toets 2 niet toeger.kosten varkens</t>
  </si>
  <si>
    <t>zie verder naar beneden</t>
  </si>
  <si>
    <t>oefentoets</t>
  </si>
  <si>
    <t>ha à  euro</t>
  </si>
  <si>
    <t>euro / ha</t>
  </si>
  <si>
    <t>per eenheid in euro</t>
  </si>
  <si>
    <t>Productierechten gekocht</t>
  </si>
</sst>
</file>

<file path=xl/styles.xml><?xml version="1.0" encoding="utf-8"?>
<styleSheet xmlns="http://schemas.openxmlformats.org/spreadsheetml/2006/main">
  <numFmts count="6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&quot;fl&quot;\ * #,##0.00_-;_-&quot;fl&quot;\ * #,##0.00\-;_-&quot;fl&quot;\ * &quot;-&quot;??_-;_-@_-"/>
    <numFmt numFmtId="178" formatCode="0.0"/>
    <numFmt numFmtId="179" formatCode="dd\-mm\-yyyy"/>
    <numFmt numFmtId="180" formatCode="0.0000"/>
    <numFmt numFmtId="181" formatCode="0.0%"/>
    <numFmt numFmtId="182" formatCode="#,##0.0;&quot;-&quot;#,##0.0"/>
    <numFmt numFmtId="183" formatCode="#,##0.0"/>
    <numFmt numFmtId="184" formatCode="0.00\ &quot;%&quot;"/>
    <numFmt numFmtId="185" formatCode="0.00\ &quot;gld&quot;"/>
    <numFmt numFmtId="186" formatCode="#,##0\ &quot;gld&quot;"/>
    <numFmt numFmtId="187" formatCode="0\ &quot;gld&quot;"/>
    <numFmt numFmtId="188" formatCode="0\ &quot;kg&quot;"/>
    <numFmt numFmtId="189" formatCode="0.000"/>
    <numFmt numFmtId="190" formatCode="#,##0\ \ "/>
    <numFmt numFmtId="191" formatCode="#,##0\ \ \ \ &quot;*&quot;"/>
    <numFmt numFmtId="192" formatCode="d/mm/yy"/>
    <numFmt numFmtId="193" formatCode="0.00\ "/>
    <numFmt numFmtId="194" formatCode="0.0\ &quot;%&quot;"/>
    <numFmt numFmtId="195" formatCode="#,##0_ ;[Red]\-#,##0\ "/>
    <numFmt numFmtId="196" formatCode="0.0000000"/>
    <numFmt numFmtId="197" formatCode="0.000000"/>
    <numFmt numFmtId="198" formatCode="0.00000"/>
    <numFmt numFmtId="199" formatCode="#,##0.000"/>
    <numFmt numFmtId="200" formatCode="dd/mm/yyyy"/>
    <numFmt numFmtId="201" formatCode="0\ \ \ "/>
    <numFmt numFmtId="202" formatCode="0\ "/>
    <numFmt numFmtId="203" formatCode="0.00\ \ \ "/>
    <numFmt numFmtId="204" formatCode="0.000\ "/>
    <numFmt numFmtId="205" formatCode="0.0\ "/>
    <numFmt numFmtId="206" formatCode="0\ &quot;gr&quot;"/>
    <numFmt numFmtId="207" formatCode="#.##0.0"/>
    <numFmt numFmtId="208" formatCode="#.##0.00"/>
    <numFmt numFmtId="209" formatCode="#.##0."/>
    <numFmt numFmtId="210" formatCode="#.##0"/>
    <numFmt numFmtId="211" formatCode="#.##"/>
    <numFmt numFmtId="212" formatCode="#.#"/>
    <numFmt numFmtId="213" formatCode="#"/>
    <numFmt numFmtId="214" formatCode="#.0"/>
    <numFmt numFmtId="215" formatCode="#.00"/>
    <numFmt numFmtId="216" formatCode="#.###"/>
    <numFmt numFmtId="217" formatCode="#.####"/>
    <numFmt numFmtId="218" formatCode="#.#####"/>
    <numFmt numFmtId="219" formatCode="#.######"/>
    <numFmt numFmtId="220" formatCode="#.##00."/>
  </numFmts>
  <fonts count="56">
    <font>
      <sz val="10"/>
      <name val="Arial"/>
      <family val="0"/>
    </font>
    <font>
      <sz val="9"/>
      <name val="Tahoma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0"/>
      <color indexed="10"/>
      <name val="MS Sans Serif"/>
      <family val="2"/>
    </font>
    <font>
      <b/>
      <sz val="8.5"/>
      <name val="MS Sans Serif"/>
      <family val="2"/>
    </font>
    <font>
      <sz val="8.5"/>
      <color indexed="10"/>
      <name val="MS Sans Serif"/>
      <family val="2"/>
    </font>
    <font>
      <b/>
      <sz val="8.5"/>
      <color indexed="10"/>
      <name val="MS Sans Serif"/>
      <family val="2"/>
    </font>
    <font>
      <sz val="8.5"/>
      <name val="MS Sans Serif"/>
      <family val="2"/>
    </font>
    <font>
      <u val="single"/>
      <sz val="8.5"/>
      <name val="MS Sans Serif"/>
      <family val="2"/>
    </font>
    <font>
      <sz val="8.5"/>
      <color indexed="8"/>
      <name val="MS Sans Serif"/>
      <family val="2"/>
    </font>
    <font>
      <sz val="9"/>
      <name val="MS Sans Serif"/>
      <family val="2"/>
    </font>
    <font>
      <sz val="9"/>
      <color indexed="10"/>
      <name val="MS Sans Serif"/>
      <family val="2"/>
    </font>
    <font>
      <b/>
      <sz val="9"/>
      <color indexed="10"/>
      <name val="MS Sans Serif"/>
      <family val="2"/>
    </font>
    <font>
      <b/>
      <sz val="9"/>
      <name val="MS Sans Serif"/>
      <family val="2"/>
    </font>
    <font>
      <sz val="9"/>
      <name val="Arial"/>
      <family val="2"/>
    </font>
    <font>
      <b/>
      <u val="single"/>
      <sz val="9"/>
      <name val="MS Sans Serif"/>
      <family val="2"/>
    </font>
    <font>
      <b/>
      <sz val="8.5"/>
      <color indexed="10"/>
      <name val="Arial"/>
      <family val="2"/>
    </font>
    <font>
      <sz val="8.5"/>
      <color indexed="12"/>
      <name val="Arial"/>
      <family val="2"/>
    </font>
    <font>
      <sz val="9"/>
      <color indexed="48"/>
      <name val="MS Sans Serif"/>
      <family val="2"/>
    </font>
    <font>
      <sz val="9"/>
      <color indexed="12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ashed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 style="double"/>
      <top>
        <color indexed="63"/>
      </top>
      <bottom style="dotted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28" borderId="0" applyNumberFormat="0" applyBorder="0" applyAlignment="0" applyProtection="0"/>
    <xf numFmtId="0" fontId="44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0" fillId="31" borderId="7" applyNumberFormat="0" applyFont="0" applyAlignment="0" applyProtection="0"/>
    <xf numFmtId="0" fontId="49" fillId="32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26" borderId="9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</cellStyleXfs>
  <cellXfs count="349">
    <xf numFmtId="0" fontId="0" fillId="0" borderId="0" xfId="0" applyAlignment="1">
      <alignment/>
    </xf>
    <xf numFmtId="0" fontId="6" fillId="33" borderId="0" xfId="0" applyFont="1" applyFill="1" applyAlignment="1">
      <alignment/>
    </xf>
    <xf numFmtId="0" fontId="5" fillId="34" borderId="0" xfId="0" applyFont="1" applyFill="1" applyAlignment="1">
      <alignment horizontal="right"/>
    </xf>
    <xf numFmtId="0" fontId="8" fillId="0" borderId="0" xfId="0" applyFont="1" applyAlignment="1">
      <alignment/>
    </xf>
    <xf numFmtId="0" fontId="8" fillId="34" borderId="0" xfId="0" applyFont="1" applyFill="1" applyAlignment="1">
      <alignment/>
    </xf>
    <xf numFmtId="0" fontId="8" fillId="34" borderId="0" xfId="0" applyFont="1" applyFill="1" applyAlignment="1">
      <alignment horizontal="left"/>
    </xf>
    <xf numFmtId="0" fontId="8" fillId="34" borderId="0" xfId="0" applyFont="1" applyFill="1" applyAlignment="1">
      <alignment horizontal="right"/>
    </xf>
    <xf numFmtId="0" fontId="8" fillId="34" borderId="10" xfId="0" applyFont="1" applyFill="1" applyBorder="1" applyAlignment="1">
      <alignment/>
    </xf>
    <xf numFmtId="0" fontId="8" fillId="34" borderId="10" xfId="0" applyFont="1" applyFill="1" applyBorder="1" applyAlignment="1">
      <alignment horizontal="right"/>
    </xf>
    <xf numFmtId="0" fontId="8" fillId="34" borderId="0" xfId="0" applyFont="1" applyFill="1" applyBorder="1" applyAlignment="1">
      <alignment horizontal="right"/>
    </xf>
    <xf numFmtId="0" fontId="8" fillId="0" borderId="0" xfId="0" applyFont="1" applyAlignment="1">
      <alignment horizontal="right"/>
    </xf>
    <xf numFmtId="0" fontId="8" fillId="34" borderId="0" xfId="0" applyFont="1" applyFill="1" applyBorder="1" applyAlignment="1">
      <alignment/>
    </xf>
    <xf numFmtId="0" fontId="8" fillId="33" borderId="0" xfId="0" applyFont="1" applyFill="1" applyAlignment="1">
      <alignment/>
    </xf>
    <xf numFmtId="0" fontId="8" fillId="33" borderId="0" xfId="0" applyFont="1" applyFill="1" applyAlignment="1">
      <alignment horizontal="right"/>
    </xf>
    <xf numFmtId="1" fontId="8" fillId="34" borderId="0" xfId="0" applyNumberFormat="1" applyFont="1" applyFill="1" applyAlignment="1">
      <alignment horizontal="right"/>
    </xf>
    <xf numFmtId="0" fontId="8" fillId="34" borderId="0" xfId="0" applyFont="1" applyFill="1" applyAlignment="1" applyProtection="1">
      <alignment/>
      <protection/>
    </xf>
    <xf numFmtId="0" fontId="5" fillId="34" borderId="11" xfId="0" applyFont="1" applyFill="1" applyBorder="1" applyAlignment="1" applyProtection="1">
      <alignment/>
      <protection/>
    </xf>
    <xf numFmtId="0" fontId="8" fillId="34" borderId="11" xfId="0" applyFont="1" applyFill="1" applyBorder="1" applyAlignment="1" applyProtection="1">
      <alignment/>
      <protection/>
    </xf>
    <xf numFmtId="0" fontId="8" fillId="34" borderId="0" xfId="0" applyFont="1" applyFill="1" applyBorder="1" applyAlignment="1" applyProtection="1">
      <alignment/>
      <protection/>
    </xf>
    <xf numFmtId="0" fontId="8" fillId="34" borderId="12" xfId="0" applyFont="1" applyFill="1" applyBorder="1" applyAlignment="1" applyProtection="1">
      <alignment/>
      <protection/>
    </xf>
    <xf numFmtId="178" fontId="8" fillId="34" borderId="13" xfId="0" applyNumberFormat="1" applyFont="1" applyFill="1" applyBorder="1" applyAlignment="1" applyProtection="1">
      <alignment/>
      <protection/>
    </xf>
    <xf numFmtId="3" fontId="8" fillId="34" borderId="13" xfId="0" applyNumberFormat="1" applyFont="1" applyFill="1" applyBorder="1" applyAlignment="1" applyProtection="1">
      <alignment horizontal="right"/>
      <protection/>
    </xf>
    <xf numFmtId="3" fontId="8" fillId="34" borderId="14" xfId="0" applyNumberFormat="1" applyFont="1" applyFill="1" applyBorder="1" applyAlignment="1" applyProtection="1">
      <alignment horizontal="right"/>
      <protection/>
    </xf>
    <xf numFmtId="0" fontId="8" fillId="34" borderId="13" xfId="0" applyFont="1" applyFill="1" applyBorder="1" applyAlignment="1" applyProtection="1">
      <alignment/>
      <protection/>
    </xf>
    <xf numFmtId="0" fontId="8" fillId="34" borderId="0" xfId="0" applyFont="1" applyFill="1" applyBorder="1" applyAlignment="1" applyProtection="1">
      <alignment horizontal="center"/>
      <protection/>
    </xf>
    <xf numFmtId="0" fontId="8" fillId="34" borderId="0" xfId="0" applyFont="1" applyFill="1" applyAlignment="1" applyProtection="1">
      <alignment horizontal="right"/>
      <protection/>
    </xf>
    <xf numFmtId="0" fontId="8" fillId="34" borderId="0" xfId="0" applyFont="1" applyFill="1" applyBorder="1" applyAlignment="1" applyProtection="1">
      <alignment horizontal="right"/>
      <protection/>
    </xf>
    <xf numFmtId="0" fontId="8" fillId="34" borderId="0" xfId="0" applyFont="1" applyFill="1" applyBorder="1" applyAlignment="1" applyProtection="1">
      <alignment/>
      <protection/>
    </xf>
    <xf numFmtId="3" fontId="8" fillId="34" borderId="0" xfId="0" applyNumberFormat="1" applyFont="1" applyFill="1" applyBorder="1" applyAlignment="1" applyProtection="1">
      <alignment horizontal="right"/>
      <protection/>
    </xf>
    <xf numFmtId="3" fontId="8" fillId="34" borderId="11" xfId="0" applyNumberFormat="1" applyFont="1" applyFill="1" applyBorder="1" applyAlignment="1" applyProtection="1">
      <alignment horizontal="right"/>
      <protection/>
    </xf>
    <xf numFmtId="0" fontId="8" fillId="34" borderId="15" xfId="0" applyFont="1" applyFill="1" applyBorder="1" applyAlignment="1" applyProtection="1">
      <alignment/>
      <protection/>
    </xf>
    <xf numFmtId="0" fontId="5" fillId="34" borderId="0" xfId="0" applyFont="1" applyFill="1" applyBorder="1" applyAlignment="1" applyProtection="1">
      <alignment/>
      <protection/>
    </xf>
    <xf numFmtId="0" fontId="8" fillId="34" borderId="15" xfId="0" applyFont="1" applyFill="1" applyBorder="1" applyAlignment="1" applyProtection="1">
      <alignment horizontal="right"/>
      <protection/>
    </xf>
    <xf numFmtId="3" fontId="8" fillId="34" borderId="16" xfId="0" applyNumberFormat="1" applyFont="1" applyFill="1" applyBorder="1" applyAlignment="1" applyProtection="1">
      <alignment horizontal="right"/>
      <protection/>
    </xf>
    <xf numFmtId="0" fontId="8" fillId="0" borderId="0" xfId="0" applyFont="1" applyBorder="1" applyAlignment="1">
      <alignment/>
    </xf>
    <xf numFmtId="0" fontId="5" fillId="34" borderId="15" xfId="0" applyFont="1" applyFill="1" applyBorder="1" applyAlignment="1" applyProtection="1">
      <alignment/>
      <protection/>
    </xf>
    <xf numFmtId="0" fontId="5" fillId="34" borderId="0" xfId="0" applyFont="1" applyFill="1" applyAlignment="1" applyProtection="1">
      <alignment/>
      <protection/>
    </xf>
    <xf numFmtId="3" fontId="8" fillId="34" borderId="17" xfId="0" applyNumberFormat="1" applyFont="1" applyFill="1" applyBorder="1" applyAlignment="1" applyProtection="1">
      <alignment horizontal="right"/>
      <protection/>
    </xf>
    <xf numFmtId="3" fontId="8" fillId="34" borderId="18" xfId="0" applyNumberFormat="1" applyFont="1" applyFill="1" applyBorder="1" applyAlignment="1" applyProtection="1">
      <alignment horizontal="right"/>
      <protection/>
    </xf>
    <xf numFmtId="178" fontId="8" fillId="34" borderId="18" xfId="0" applyNumberFormat="1" applyFont="1" applyFill="1" applyBorder="1" applyAlignment="1" applyProtection="1">
      <alignment/>
      <protection/>
    </xf>
    <xf numFmtId="178" fontId="8" fillId="34" borderId="0" xfId="0" applyNumberFormat="1" applyFont="1" applyFill="1" applyBorder="1" applyAlignment="1" applyProtection="1">
      <alignment/>
      <protection/>
    </xf>
    <xf numFmtId="0" fontId="5" fillId="34" borderId="0" xfId="0" applyFont="1" applyFill="1" applyBorder="1" applyAlignment="1" applyProtection="1">
      <alignment horizontal="right"/>
      <protection/>
    </xf>
    <xf numFmtId="0" fontId="8" fillId="34" borderId="0" xfId="0" applyFont="1" applyFill="1" applyBorder="1" applyAlignment="1">
      <alignment horizontal="left"/>
    </xf>
    <xf numFmtId="0" fontId="5" fillId="34" borderId="0" xfId="0" applyFont="1" applyFill="1" applyAlignment="1" applyProtection="1">
      <alignment horizontal="right"/>
      <protection/>
    </xf>
    <xf numFmtId="0" fontId="8" fillId="35" borderId="0" xfId="0" applyFont="1" applyFill="1" applyBorder="1" applyAlignment="1" applyProtection="1">
      <alignment horizontal="center"/>
      <protection/>
    </xf>
    <xf numFmtId="0" fontId="8" fillId="35" borderId="0" xfId="0" applyFont="1" applyFill="1" applyBorder="1" applyAlignment="1" applyProtection="1">
      <alignment/>
      <protection/>
    </xf>
    <xf numFmtId="0" fontId="8" fillId="36" borderId="0" xfId="0" applyFont="1" applyFill="1" applyBorder="1" applyAlignment="1" applyProtection="1">
      <alignment horizontal="center"/>
      <protection/>
    </xf>
    <xf numFmtId="0" fontId="8" fillId="36" borderId="0" xfId="0" applyFont="1" applyFill="1" applyBorder="1" applyAlignment="1" applyProtection="1">
      <alignment/>
      <protection/>
    </xf>
    <xf numFmtId="0" fontId="8" fillId="36" borderId="12" xfId="0" applyFont="1" applyFill="1" applyBorder="1" applyAlignment="1" applyProtection="1">
      <alignment horizontal="center"/>
      <protection/>
    </xf>
    <xf numFmtId="0" fontId="8" fillId="36" borderId="15" xfId="0" applyFont="1" applyFill="1" applyBorder="1" applyAlignment="1" applyProtection="1">
      <alignment horizontal="right"/>
      <protection/>
    </xf>
    <xf numFmtId="0" fontId="8" fillId="36" borderId="15" xfId="0" applyFont="1" applyFill="1" applyBorder="1" applyAlignment="1" applyProtection="1">
      <alignment/>
      <protection/>
    </xf>
    <xf numFmtId="0" fontId="8" fillId="36" borderId="12" xfId="0" applyFont="1" applyFill="1" applyBorder="1" applyAlignment="1" applyProtection="1">
      <alignment/>
      <protection/>
    </xf>
    <xf numFmtId="0" fontId="8" fillId="36" borderId="13" xfId="0" applyFont="1" applyFill="1" applyBorder="1" applyAlignment="1" applyProtection="1">
      <alignment horizontal="center"/>
      <protection/>
    </xf>
    <xf numFmtId="0" fontId="8" fillId="36" borderId="13" xfId="0" applyFont="1" applyFill="1" applyBorder="1" applyAlignment="1" applyProtection="1">
      <alignment/>
      <protection/>
    </xf>
    <xf numFmtId="0" fontId="8" fillId="36" borderId="17" xfId="0" applyFont="1" applyFill="1" applyBorder="1" applyAlignment="1" applyProtection="1">
      <alignment horizontal="center"/>
      <protection/>
    </xf>
    <xf numFmtId="0" fontId="8" fillId="36" borderId="18" xfId="0" applyFont="1" applyFill="1" applyBorder="1" applyAlignment="1" applyProtection="1">
      <alignment horizontal="center"/>
      <protection/>
    </xf>
    <xf numFmtId="0" fontId="8" fillId="36" borderId="11" xfId="0" applyFont="1" applyFill="1" applyBorder="1" applyAlignment="1" applyProtection="1">
      <alignment/>
      <protection/>
    </xf>
    <xf numFmtId="0" fontId="8" fillId="36" borderId="11" xfId="0" applyFont="1" applyFill="1" applyBorder="1" applyAlignment="1" applyProtection="1">
      <alignment horizontal="center"/>
      <protection/>
    </xf>
    <xf numFmtId="0" fontId="8" fillId="36" borderId="18" xfId="0" applyFont="1" applyFill="1" applyBorder="1" applyAlignment="1" applyProtection="1">
      <alignment/>
      <protection/>
    </xf>
    <xf numFmtId="3" fontId="8" fillId="34" borderId="16" xfId="0" applyNumberFormat="1" applyFont="1" applyFill="1" applyBorder="1" applyAlignment="1" applyProtection="1">
      <alignment/>
      <protection/>
    </xf>
    <xf numFmtId="0" fontId="8" fillId="34" borderId="19" xfId="0" applyFont="1" applyFill="1" applyBorder="1" applyAlignment="1" applyProtection="1">
      <alignment horizontal="right"/>
      <protection/>
    </xf>
    <xf numFmtId="190" fontId="8" fillId="34" borderId="13" xfId="0" applyNumberFormat="1" applyFont="1" applyFill="1" applyBorder="1" applyAlignment="1" applyProtection="1">
      <alignment/>
      <protection/>
    </xf>
    <xf numFmtId="0" fontId="8" fillId="34" borderId="11" xfId="0" applyFont="1" applyFill="1" applyBorder="1" applyAlignment="1" applyProtection="1">
      <alignment horizontal="center"/>
      <protection/>
    </xf>
    <xf numFmtId="0" fontId="8" fillId="34" borderId="20" xfId="0" applyFont="1" applyFill="1" applyBorder="1" applyAlignment="1" applyProtection="1">
      <alignment horizontal="center"/>
      <protection/>
    </xf>
    <xf numFmtId="0" fontId="8" fillId="34" borderId="18" xfId="0" applyFont="1" applyFill="1" applyBorder="1" applyAlignment="1" applyProtection="1">
      <alignment horizontal="center"/>
      <protection/>
    </xf>
    <xf numFmtId="190" fontId="8" fillId="34" borderId="18" xfId="0" applyNumberFormat="1" applyFont="1" applyFill="1" applyBorder="1" applyAlignment="1" applyProtection="1">
      <alignment/>
      <protection/>
    </xf>
    <xf numFmtId="0" fontId="8" fillId="34" borderId="17" xfId="0" applyFont="1" applyFill="1" applyBorder="1" applyAlignment="1" applyProtection="1">
      <alignment horizontal="center"/>
      <protection/>
    </xf>
    <xf numFmtId="190" fontId="8" fillId="34" borderId="0" xfId="0" applyNumberFormat="1" applyFont="1" applyFill="1" applyBorder="1" applyAlignment="1" applyProtection="1">
      <alignment/>
      <protection/>
    </xf>
    <xf numFmtId="178" fontId="8" fillId="34" borderId="14" xfId="0" applyNumberFormat="1" applyFont="1" applyFill="1" applyBorder="1" applyAlignment="1" applyProtection="1">
      <alignment/>
      <protection/>
    </xf>
    <xf numFmtId="190" fontId="8" fillId="34" borderId="12" xfId="0" applyNumberFormat="1" applyFont="1" applyFill="1" applyBorder="1" applyAlignment="1" applyProtection="1">
      <alignment/>
      <protection/>
    </xf>
    <xf numFmtId="190" fontId="8" fillId="34" borderId="0" xfId="0" applyNumberFormat="1" applyFont="1" applyFill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center"/>
      <protection/>
    </xf>
    <xf numFmtId="0" fontId="9" fillId="34" borderId="0" xfId="0" applyFont="1" applyFill="1" applyBorder="1" applyAlignment="1" applyProtection="1">
      <alignment horizontal="right"/>
      <protection/>
    </xf>
    <xf numFmtId="1" fontId="8" fillId="34" borderId="16" xfId="0" applyNumberFormat="1" applyFont="1" applyFill="1" applyBorder="1" applyAlignment="1" applyProtection="1">
      <alignment/>
      <protection/>
    </xf>
    <xf numFmtId="3" fontId="8" fillId="0" borderId="16" xfId="0" applyNumberFormat="1" applyFont="1" applyBorder="1" applyAlignment="1" applyProtection="1">
      <alignment horizontal="right"/>
      <protection/>
    </xf>
    <xf numFmtId="2" fontId="8" fillId="34" borderId="13" xfId="0" applyNumberFormat="1" applyFont="1" applyFill="1" applyBorder="1" applyAlignment="1" applyProtection="1">
      <alignment/>
      <protection/>
    </xf>
    <xf numFmtId="178" fontId="8" fillId="34" borderId="13" xfId="0" applyNumberFormat="1" applyFont="1" applyFill="1" applyBorder="1" applyAlignment="1" applyProtection="1">
      <alignment horizontal="center"/>
      <protection/>
    </xf>
    <xf numFmtId="2" fontId="8" fillId="34" borderId="0" xfId="0" applyNumberFormat="1" applyFont="1" applyFill="1" applyBorder="1" applyAlignment="1" applyProtection="1">
      <alignment/>
      <protection/>
    </xf>
    <xf numFmtId="190" fontId="8" fillId="34" borderId="16" xfId="0" applyNumberFormat="1" applyFont="1" applyFill="1" applyBorder="1" applyAlignment="1" applyProtection="1">
      <alignment/>
      <protection/>
    </xf>
    <xf numFmtId="2" fontId="8" fillId="0" borderId="16" xfId="0" applyNumberFormat="1" applyFont="1" applyBorder="1" applyAlignment="1" applyProtection="1">
      <alignment horizontal="right"/>
      <protection/>
    </xf>
    <xf numFmtId="178" fontId="8" fillId="0" borderId="13" xfId="0" applyNumberFormat="1" applyFont="1" applyBorder="1" applyAlignment="1" applyProtection="1">
      <alignment/>
      <protection/>
    </xf>
    <xf numFmtId="178" fontId="8" fillId="34" borderId="21" xfId="0" applyNumberFormat="1" applyFont="1" applyFill="1" applyBorder="1" applyAlignment="1" applyProtection="1">
      <alignment/>
      <protection/>
    </xf>
    <xf numFmtId="178" fontId="8" fillId="34" borderId="11" xfId="0" applyNumberFormat="1" applyFont="1" applyFill="1" applyBorder="1" applyAlignment="1" applyProtection="1">
      <alignment/>
      <protection/>
    </xf>
    <xf numFmtId="0" fontId="8" fillId="34" borderId="22" xfId="0" applyFont="1" applyFill="1" applyBorder="1" applyAlignment="1" applyProtection="1">
      <alignment/>
      <protection/>
    </xf>
    <xf numFmtId="0" fontId="5" fillId="34" borderId="0" xfId="0" applyFont="1" applyFill="1" applyBorder="1" applyAlignment="1">
      <alignment horizontal="right"/>
    </xf>
    <xf numFmtId="0" fontId="5" fillId="34" borderId="0" xfId="0" applyFont="1" applyFill="1" applyAlignment="1">
      <alignment/>
    </xf>
    <xf numFmtId="192" fontId="8" fillId="34" borderId="0" xfId="0" applyNumberFormat="1" applyFont="1" applyFill="1" applyAlignment="1">
      <alignment horizontal="right"/>
    </xf>
    <xf numFmtId="0" fontId="3" fillId="37" borderId="0" xfId="0" applyFont="1" applyFill="1" applyAlignment="1" applyProtection="1">
      <alignment/>
      <protection/>
    </xf>
    <xf numFmtId="192" fontId="8" fillId="34" borderId="0" xfId="0" applyNumberFormat="1" applyFont="1" applyFill="1" applyBorder="1" applyAlignment="1" applyProtection="1">
      <alignment horizontal="left"/>
      <protection/>
    </xf>
    <xf numFmtId="0" fontId="0" fillId="0" borderId="0" xfId="0" applyBorder="1" applyAlignment="1">
      <alignment/>
    </xf>
    <xf numFmtId="0" fontId="8" fillId="34" borderId="0" xfId="0" applyFont="1" applyFill="1" applyAlignment="1">
      <alignment horizontal="left" indent="2"/>
    </xf>
    <xf numFmtId="0" fontId="8" fillId="0" borderId="0" xfId="0" applyFont="1" applyAlignment="1">
      <alignment horizontal="left" indent="2"/>
    </xf>
    <xf numFmtId="0" fontId="14" fillId="37" borderId="0" xfId="0" applyFont="1" applyFill="1" applyAlignment="1" applyProtection="1">
      <alignment/>
      <protection/>
    </xf>
    <xf numFmtId="0" fontId="14" fillId="34" borderId="0" xfId="0" applyFont="1" applyFill="1" applyAlignment="1" applyProtection="1">
      <alignment/>
      <protection/>
    </xf>
    <xf numFmtId="0" fontId="11" fillId="34" borderId="0" xfId="0" applyFont="1" applyFill="1" applyAlignment="1" applyProtection="1">
      <alignment/>
      <protection/>
    </xf>
    <xf numFmtId="0" fontId="11" fillId="33" borderId="0" xfId="0" applyFont="1" applyFill="1" applyBorder="1" applyAlignment="1" applyProtection="1">
      <alignment/>
      <protection/>
    </xf>
    <xf numFmtId="3" fontId="11" fillId="33" borderId="0" xfId="0" applyNumberFormat="1" applyFont="1" applyFill="1" applyBorder="1" applyAlignment="1" applyProtection="1">
      <alignment/>
      <protection/>
    </xf>
    <xf numFmtId="0" fontId="14" fillId="33" borderId="0" xfId="0" applyFont="1" applyFill="1" applyBorder="1" applyAlignment="1" applyProtection="1">
      <alignment/>
      <protection/>
    </xf>
    <xf numFmtId="0" fontId="8" fillId="34" borderId="0" xfId="0" applyFont="1" applyFill="1" applyBorder="1" applyAlignment="1" applyProtection="1">
      <alignment horizontal="left"/>
      <protection/>
    </xf>
    <xf numFmtId="0" fontId="11" fillId="34" borderId="0" xfId="0" applyFont="1" applyFill="1" applyBorder="1" applyAlignment="1" applyProtection="1">
      <alignment/>
      <protection/>
    </xf>
    <xf numFmtId="0" fontId="16" fillId="34" borderId="0" xfId="0" applyFont="1" applyFill="1" applyBorder="1" applyAlignment="1" applyProtection="1">
      <alignment/>
      <protection/>
    </xf>
    <xf numFmtId="0" fontId="11" fillId="34" borderId="13" xfId="0" applyFont="1" applyFill="1" applyBorder="1" applyAlignment="1" applyProtection="1">
      <alignment/>
      <protection/>
    </xf>
    <xf numFmtId="0" fontId="11" fillId="34" borderId="11" xfId="0" applyFont="1" applyFill="1" applyBorder="1" applyAlignment="1" applyProtection="1">
      <alignment/>
      <protection/>
    </xf>
    <xf numFmtId="0" fontId="11" fillId="38" borderId="21" xfId="0" applyFont="1" applyFill="1" applyBorder="1" applyAlignment="1" applyProtection="1">
      <alignment horizontal="right"/>
      <protection/>
    </xf>
    <xf numFmtId="0" fontId="11" fillId="38" borderId="23" xfId="0" applyFont="1" applyFill="1" applyBorder="1" applyAlignment="1" applyProtection="1">
      <alignment horizontal="right"/>
      <protection/>
    </xf>
    <xf numFmtId="0" fontId="11" fillId="38" borderId="11" xfId="0" applyFont="1" applyFill="1" applyBorder="1" applyAlignment="1" applyProtection="1">
      <alignment horizontal="right"/>
      <protection/>
    </xf>
    <xf numFmtId="0" fontId="11" fillId="38" borderId="17" xfId="0" applyFont="1" applyFill="1" applyBorder="1" applyAlignment="1" applyProtection="1">
      <alignment horizontal="right"/>
      <protection/>
    </xf>
    <xf numFmtId="0" fontId="11" fillId="34" borderId="0" xfId="0" applyFont="1" applyFill="1" applyBorder="1" applyAlignment="1" applyProtection="1">
      <alignment horizontal="left"/>
      <protection/>
    </xf>
    <xf numFmtId="178" fontId="11" fillId="34" borderId="13" xfId="0" applyNumberFormat="1" applyFont="1" applyFill="1" applyBorder="1" applyAlignment="1" applyProtection="1">
      <alignment/>
      <protection/>
    </xf>
    <xf numFmtId="2" fontId="11" fillId="34" borderId="0" xfId="0" applyNumberFormat="1" applyFont="1" applyFill="1" applyAlignment="1" applyProtection="1">
      <alignment/>
      <protection/>
    </xf>
    <xf numFmtId="2" fontId="11" fillId="39" borderId="24" xfId="0" applyNumberFormat="1" applyFont="1" applyFill="1" applyBorder="1" applyAlignment="1" applyProtection="1">
      <alignment horizontal="right"/>
      <protection locked="0"/>
    </xf>
    <xf numFmtId="2" fontId="11" fillId="34" borderId="25" xfId="0" applyNumberFormat="1" applyFont="1" applyFill="1" applyBorder="1" applyAlignment="1" applyProtection="1">
      <alignment/>
      <protection/>
    </xf>
    <xf numFmtId="0" fontId="11" fillId="34" borderId="14" xfId="0" applyFont="1" applyFill="1" applyBorder="1" applyAlignment="1" applyProtection="1">
      <alignment/>
      <protection/>
    </xf>
    <xf numFmtId="193" fontId="11" fillId="34" borderId="16" xfId="0" applyNumberFormat="1" applyFont="1" applyFill="1" applyBorder="1" applyAlignment="1" applyProtection="1">
      <alignment/>
      <protection/>
    </xf>
    <xf numFmtId="202" fontId="11" fillId="39" borderId="16" xfId="0" applyNumberFormat="1" applyFont="1" applyFill="1" applyBorder="1" applyAlignment="1" applyProtection="1">
      <alignment/>
      <protection locked="0"/>
    </xf>
    <xf numFmtId="0" fontId="11" fillId="34" borderId="0" xfId="0" applyFont="1" applyFill="1" applyAlignment="1" applyProtection="1">
      <alignment horizontal="left"/>
      <protection/>
    </xf>
    <xf numFmtId="202" fontId="11" fillId="34" borderId="16" xfId="0" applyNumberFormat="1" applyFont="1" applyFill="1" applyBorder="1" applyAlignment="1" applyProtection="1">
      <alignment/>
      <protection/>
    </xf>
    <xf numFmtId="178" fontId="11" fillId="39" borderId="0" xfId="0" applyNumberFormat="1" applyFont="1" applyFill="1" applyBorder="1" applyAlignment="1" applyProtection="1">
      <alignment/>
      <protection locked="0"/>
    </xf>
    <xf numFmtId="0" fontId="11" fillId="34" borderId="11" xfId="0" applyFont="1" applyFill="1" applyBorder="1" applyAlignment="1" applyProtection="1">
      <alignment horizontal="left"/>
      <protection/>
    </xf>
    <xf numFmtId="0" fontId="11" fillId="34" borderId="18" xfId="0" applyFont="1" applyFill="1" applyBorder="1" applyAlignment="1" applyProtection="1">
      <alignment/>
      <protection/>
    </xf>
    <xf numFmtId="202" fontId="11" fillId="34" borderId="17" xfId="0" applyNumberFormat="1" applyFont="1" applyFill="1" applyBorder="1" applyAlignment="1" applyProtection="1">
      <alignment/>
      <protection/>
    </xf>
    <xf numFmtId="193" fontId="11" fillId="34" borderId="17" xfId="0" applyNumberFormat="1" applyFont="1" applyFill="1" applyBorder="1" applyAlignment="1" applyProtection="1">
      <alignment/>
      <protection/>
    </xf>
    <xf numFmtId="0" fontId="14" fillId="34" borderId="0" xfId="0" applyFont="1" applyFill="1" applyBorder="1" applyAlignment="1" applyProtection="1">
      <alignment/>
      <protection/>
    </xf>
    <xf numFmtId="0" fontId="11" fillId="34" borderId="15" xfId="0" applyFont="1" applyFill="1" applyBorder="1" applyAlignment="1" applyProtection="1">
      <alignment/>
      <protection/>
    </xf>
    <xf numFmtId="202" fontId="11" fillId="34" borderId="0" xfId="0" applyNumberFormat="1" applyFont="1" applyFill="1" applyBorder="1" applyAlignment="1" applyProtection="1">
      <alignment/>
      <protection/>
    </xf>
    <xf numFmtId="202" fontId="11" fillId="34" borderId="11" xfId="0" applyNumberFormat="1" applyFont="1" applyFill="1" applyBorder="1" applyAlignment="1" applyProtection="1">
      <alignment/>
      <protection/>
    </xf>
    <xf numFmtId="203" fontId="11" fillId="34" borderId="11" xfId="0" applyNumberFormat="1" applyFont="1" applyFill="1" applyBorder="1" applyAlignment="1" applyProtection="1">
      <alignment/>
      <protection/>
    </xf>
    <xf numFmtId="193" fontId="11" fillId="34" borderId="11" xfId="0" applyNumberFormat="1" applyFont="1" applyFill="1" applyBorder="1" applyAlignment="1" applyProtection="1">
      <alignment/>
      <protection/>
    </xf>
    <xf numFmtId="202" fontId="11" fillId="34" borderId="24" xfId="0" applyNumberFormat="1" applyFont="1" applyFill="1" applyBorder="1" applyAlignment="1" applyProtection="1">
      <alignment/>
      <protection/>
    </xf>
    <xf numFmtId="203" fontId="11" fillId="34" borderId="26" xfId="0" applyNumberFormat="1" applyFont="1" applyFill="1" applyBorder="1" applyAlignment="1" applyProtection="1">
      <alignment/>
      <protection/>
    </xf>
    <xf numFmtId="0" fontId="11" fillId="34" borderId="22" xfId="0" applyFont="1" applyFill="1" applyBorder="1" applyAlignment="1" applyProtection="1">
      <alignment/>
      <protection/>
    </xf>
    <xf numFmtId="193" fontId="11" fillId="34" borderId="24" xfId="0" applyNumberFormat="1" applyFont="1" applyFill="1" applyBorder="1" applyAlignment="1" applyProtection="1">
      <alignment/>
      <protection/>
    </xf>
    <xf numFmtId="0" fontId="11" fillId="34" borderId="16" xfId="0" applyFont="1" applyFill="1" applyBorder="1" applyAlignment="1" applyProtection="1">
      <alignment/>
      <protection/>
    </xf>
    <xf numFmtId="193" fontId="11" fillId="34" borderId="14" xfId="0" applyNumberFormat="1" applyFont="1" applyFill="1" applyBorder="1" applyAlignment="1" applyProtection="1">
      <alignment/>
      <protection/>
    </xf>
    <xf numFmtId="2" fontId="11" fillId="34" borderId="13" xfId="0" applyNumberFormat="1" applyFont="1" applyFill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11" fillId="34" borderId="0" xfId="0" applyFont="1" applyFill="1" applyAlignment="1" applyProtection="1">
      <alignment/>
      <protection/>
    </xf>
    <xf numFmtId="178" fontId="11" fillId="39" borderId="13" xfId="0" applyNumberFormat="1" applyFont="1" applyFill="1" applyBorder="1" applyAlignment="1" applyProtection="1">
      <alignment horizontal="center"/>
      <protection locked="0"/>
    </xf>
    <xf numFmtId="0" fontId="11" fillId="34" borderId="27" xfId="0" applyFont="1" applyFill="1" applyBorder="1" applyAlignment="1" applyProtection="1">
      <alignment/>
      <protection/>
    </xf>
    <xf numFmtId="2" fontId="11" fillId="34" borderId="28" xfId="0" applyNumberFormat="1" applyFont="1" applyFill="1" applyBorder="1" applyAlignment="1" applyProtection="1">
      <alignment/>
      <protection/>
    </xf>
    <xf numFmtId="203" fontId="11" fillId="34" borderId="25" xfId="0" applyNumberFormat="1" applyFont="1" applyFill="1" applyBorder="1" applyAlignment="1" applyProtection="1">
      <alignment/>
      <protection/>
    </xf>
    <xf numFmtId="202" fontId="11" fillId="39" borderId="0" xfId="0" applyNumberFormat="1" applyFont="1" applyFill="1" applyBorder="1" applyAlignment="1" applyProtection="1">
      <alignment/>
      <protection locked="0"/>
    </xf>
    <xf numFmtId="184" fontId="11" fillId="34" borderId="16" xfId="0" applyNumberFormat="1" applyFont="1" applyFill="1" applyBorder="1" applyAlignment="1" applyProtection="1">
      <alignment/>
      <protection/>
    </xf>
    <xf numFmtId="202" fontId="11" fillId="34" borderId="14" xfId="0" applyNumberFormat="1" applyFont="1" applyFill="1" applyBorder="1" applyAlignment="1" applyProtection="1">
      <alignment/>
      <protection/>
    </xf>
    <xf numFmtId="0" fontId="11" fillId="34" borderId="0" xfId="0" applyFont="1" applyFill="1" applyAlignment="1" applyProtection="1">
      <alignment horizontal="right"/>
      <protection/>
    </xf>
    <xf numFmtId="0" fontId="11" fillId="34" borderId="17" xfId="0" applyFont="1" applyFill="1" applyBorder="1" applyAlignment="1" applyProtection="1">
      <alignment/>
      <protection/>
    </xf>
    <xf numFmtId="203" fontId="11" fillId="34" borderId="29" xfId="0" applyNumberFormat="1" applyFont="1" applyFill="1" applyBorder="1" applyAlignment="1" applyProtection="1">
      <alignment/>
      <protection/>
    </xf>
    <xf numFmtId="0" fontId="14" fillId="34" borderId="15" xfId="0" applyFont="1" applyFill="1" applyBorder="1" applyAlignment="1" applyProtection="1">
      <alignment/>
      <protection/>
    </xf>
    <xf numFmtId="2" fontId="11" fillId="34" borderId="0" xfId="0" applyNumberFormat="1" applyFont="1" applyFill="1" applyBorder="1" applyAlignment="1" applyProtection="1">
      <alignment/>
      <protection/>
    </xf>
    <xf numFmtId="0" fontId="8" fillId="40" borderId="0" xfId="0" applyFont="1" applyFill="1" applyAlignment="1" applyProtection="1">
      <alignment horizontal="left"/>
      <protection locked="0"/>
    </xf>
    <xf numFmtId="0" fontId="11" fillId="34" borderId="0" xfId="0" applyFont="1" applyFill="1" applyBorder="1" applyAlignment="1" applyProtection="1">
      <alignment horizontal="right"/>
      <protection/>
    </xf>
    <xf numFmtId="0" fontId="8" fillId="34" borderId="10" xfId="0" applyFont="1" applyFill="1" applyBorder="1" applyAlignment="1" applyProtection="1">
      <alignment/>
      <protection/>
    </xf>
    <xf numFmtId="0" fontId="11" fillId="34" borderId="10" xfId="0" applyFont="1" applyFill="1" applyBorder="1" applyAlignment="1" applyProtection="1">
      <alignment/>
      <protection/>
    </xf>
    <xf numFmtId="0" fontId="11" fillId="34" borderId="30" xfId="0" applyFont="1" applyFill="1" applyBorder="1" applyAlignment="1" applyProtection="1">
      <alignment/>
      <protection/>
    </xf>
    <xf numFmtId="0" fontId="11" fillId="34" borderId="31" xfId="0" applyFont="1" applyFill="1" applyBorder="1" applyAlignment="1" applyProtection="1">
      <alignment/>
      <protection/>
    </xf>
    <xf numFmtId="203" fontId="11" fillId="34" borderId="32" xfId="0" applyNumberFormat="1" applyFont="1" applyFill="1" applyBorder="1" applyAlignment="1" applyProtection="1">
      <alignment/>
      <protection/>
    </xf>
    <xf numFmtId="0" fontId="8" fillId="39" borderId="0" xfId="0" applyFont="1" applyFill="1" applyAlignment="1" applyProtection="1">
      <alignment horizontal="left"/>
      <protection locked="0"/>
    </xf>
    <xf numFmtId="0" fontId="8" fillId="39" borderId="0" xfId="0" applyFont="1" applyFill="1" applyAlignment="1" applyProtection="1">
      <alignment/>
      <protection locked="0"/>
    </xf>
    <xf numFmtId="0" fontId="8" fillId="39" borderId="10" xfId="0" applyFont="1" applyFill="1" applyBorder="1" applyAlignment="1" applyProtection="1">
      <alignment/>
      <protection locked="0"/>
    </xf>
    <xf numFmtId="2" fontId="8" fillId="39" borderId="0" xfId="0" applyNumberFormat="1" applyFont="1" applyFill="1" applyAlignment="1" applyProtection="1">
      <alignment/>
      <protection locked="0"/>
    </xf>
    <xf numFmtId="0" fontId="8" fillId="39" borderId="0" xfId="0" applyFont="1" applyFill="1" applyAlignment="1" applyProtection="1">
      <alignment horizontal="right"/>
      <protection locked="0"/>
    </xf>
    <xf numFmtId="0" fontId="8" fillId="39" borderId="0" xfId="0" applyFont="1" applyFill="1" applyBorder="1" applyAlignment="1" applyProtection="1">
      <alignment/>
      <protection locked="0"/>
    </xf>
    <xf numFmtId="2" fontId="8" fillId="39" borderId="0" xfId="0" applyNumberFormat="1" applyFont="1" applyFill="1" applyBorder="1" applyAlignment="1" applyProtection="1">
      <alignment/>
      <protection locked="0"/>
    </xf>
    <xf numFmtId="178" fontId="8" fillId="39" borderId="0" xfId="0" applyNumberFormat="1" applyFont="1" applyFill="1" applyAlignment="1" applyProtection="1">
      <alignment/>
      <protection locked="0"/>
    </xf>
    <xf numFmtId="1" fontId="8" fillId="39" borderId="0" xfId="0" applyNumberFormat="1" applyFont="1" applyFill="1" applyAlignment="1" applyProtection="1">
      <alignment/>
      <protection locked="0"/>
    </xf>
    <xf numFmtId="178" fontId="8" fillId="39" borderId="0" xfId="0" applyNumberFormat="1" applyFont="1" applyFill="1" applyAlignment="1" applyProtection="1">
      <alignment horizontal="right"/>
      <protection locked="0"/>
    </xf>
    <xf numFmtId="0" fontId="11" fillId="33" borderId="0" xfId="0" applyFont="1" applyFill="1" applyAlignment="1" applyProtection="1">
      <alignment/>
      <protection/>
    </xf>
    <xf numFmtId="0" fontId="12" fillId="33" borderId="0" xfId="0" applyFont="1" applyFill="1" applyAlignment="1" applyProtection="1">
      <alignment/>
      <protection/>
    </xf>
    <xf numFmtId="0" fontId="6" fillId="33" borderId="0" xfId="0" applyFont="1" applyFill="1" applyAlignment="1" applyProtection="1">
      <alignment/>
      <protection/>
    </xf>
    <xf numFmtId="0" fontId="12" fillId="33" borderId="0" xfId="0" applyFont="1" applyFill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3" fillId="34" borderId="0" xfId="0" applyFont="1" applyFill="1" applyAlignment="1" applyProtection="1">
      <alignment/>
      <protection/>
    </xf>
    <xf numFmtId="0" fontId="11" fillId="34" borderId="0" xfId="0" applyNumberFormat="1" applyFont="1" applyFill="1" applyAlignment="1" applyProtection="1">
      <alignment/>
      <protection/>
    </xf>
    <xf numFmtId="0" fontId="15" fillId="33" borderId="0" xfId="0" applyFont="1" applyFill="1" applyAlignment="1" applyProtection="1">
      <alignment/>
      <protection/>
    </xf>
    <xf numFmtId="0" fontId="11" fillId="0" borderId="11" xfId="0" applyFont="1" applyBorder="1" applyAlignment="1" applyProtection="1">
      <alignment/>
      <protection/>
    </xf>
    <xf numFmtId="0" fontId="15" fillId="33" borderId="0" xfId="0" applyFont="1" applyFill="1" applyAlignment="1" applyProtection="1">
      <alignment horizontal="right"/>
      <protection/>
    </xf>
    <xf numFmtId="180" fontId="15" fillId="33" borderId="0" xfId="0" applyNumberFormat="1" applyFont="1" applyFill="1" applyAlignment="1" applyProtection="1">
      <alignment/>
      <protection/>
    </xf>
    <xf numFmtId="178" fontId="11" fillId="33" borderId="0" xfId="0" applyNumberFormat="1" applyFont="1" applyFill="1" applyBorder="1" applyAlignment="1" applyProtection="1">
      <alignment/>
      <protection/>
    </xf>
    <xf numFmtId="2" fontId="11" fillId="33" borderId="0" xfId="0" applyNumberFormat="1" applyFont="1" applyFill="1" applyBorder="1" applyAlignment="1" applyProtection="1">
      <alignment/>
      <protection/>
    </xf>
    <xf numFmtId="1" fontId="11" fillId="33" borderId="0" xfId="0" applyNumberFormat="1" applyFont="1" applyFill="1" applyBorder="1" applyAlignment="1" applyProtection="1">
      <alignment/>
      <protection/>
    </xf>
    <xf numFmtId="178" fontId="11" fillId="33" borderId="0" xfId="0" applyNumberFormat="1" applyFont="1" applyFill="1" applyAlignment="1" applyProtection="1">
      <alignment/>
      <protection/>
    </xf>
    <xf numFmtId="180" fontId="11" fillId="33" borderId="0" xfId="0" applyNumberFormat="1" applyFont="1" applyFill="1" applyBorder="1" applyAlignment="1" applyProtection="1">
      <alignment/>
      <protection/>
    </xf>
    <xf numFmtId="185" fontId="11" fillId="33" borderId="0" xfId="0" applyNumberFormat="1" applyFont="1" applyFill="1" applyBorder="1" applyAlignment="1" applyProtection="1">
      <alignment/>
      <protection/>
    </xf>
    <xf numFmtId="186" fontId="11" fillId="33" borderId="0" xfId="0" applyNumberFormat="1" applyFont="1" applyFill="1" applyBorder="1" applyAlignment="1" applyProtection="1">
      <alignment/>
      <protection/>
    </xf>
    <xf numFmtId="187" fontId="11" fillId="33" borderId="0" xfId="0" applyNumberFormat="1" applyFont="1" applyFill="1" applyBorder="1" applyAlignment="1" applyProtection="1">
      <alignment/>
      <protection/>
    </xf>
    <xf numFmtId="188" fontId="11" fillId="33" borderId="0" xfId="0" applyNumberFormat="1" applyFont="1" applyFill="1" applyBorder="1" applyAlignment="1" applyProtection="1">
      <alignment/>
      <protection/>
    </xf>
    <xf numFmtId="2" fontId="11" fillId="39" borderId="29" xfId="0" applyNumberFormat="1" applyFont="1" applyFill="1" applyBorder="1" applyAlignment="1" applyProtection="1">
      <alignment/>
      <protection locked="0"/>
    </xf>
    <xf numFmtId="2" fontId="11" fillId="39" borderId="16" xfId="0" applyNumberFormat="1" applyFont="1" applyFill="1" applyBorder="1" applyAlignment="1" applyProtection="1">
      <alignment/>
      <protection locked="0"/>
    </xf>
    <xf numFmtId="2" fontId="11" fillId="39" borderId="17" xfId="0" applyNumberFormat="1" applyFont="1" applyFill="1" applyBorder="1" applyAlignment="1" applyProtection="1">
      <alignment/>
      <protection locked="0"/>
    </xf>
    <xf numFmtId="0" fontId="8" fillId="33" borderId="0" xfId="0" applyFont="1" applyFill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184" fontId="8" fillId="34" borderId="0" xfId="0" applyNumberFormat="1" applyFont="1" applyFill="1" applyBorder="1" applyAlignment="1" applyProtection="1">
      <alignment horizontal="center"/>
      <protection/>
    </xf>
    <xf numFmtId="2" fontId="8" fillId="34" borderId="0" xfId="0" applyNumberFormat="1" applyFont="1" applyFill="1" applyBorder="1" applyAlignment="1" applyProtection="1">
      <alignment horizontal="center"/>
      <protection/>
    </xf>
    <xf numFmtId="0" fontId="7" fillId="37" borderId="0" xfId="0" applyFont="1" applyFill="1" applyAlignment="1">
      <alignment/>
    </xf>
    <xf numFmtId="0" fontId="8" fillId="41" borderId="11" xfId="0" applyFont="1" applyFill="1" applyBorder="1" applyAlignment="1" applyProtection="1">
      <alignment horizontal="left"/>
      <protection locked="0"/>
    </xf>
    <xf numFmtId="0" fontId="8" fillId="34" borderId="0" xfId="0" applyFont="1" applyFill="1" applyAlignment="1" applyProtection="1">
      <alignment/>
      <protection locked="0"/>
    </xf>
    <xf numFmtId="0" fontId="4" fillId="39" borderId="0" xfId="0" applyFont="1" applyFill="1" applyAlignment="1" applyProtection="1">
      <alignment horizontal="left"/>
      <protection locked="0"/>
    </xf>
    <xf numFmtId="1" fontId="8" fillId="39" borderId="0" xfId="0" applyNumberFormat="1" applyFont="1" applyFill="1" applyAlignment="1" applyProtection="1">
      <alignment horizontal="right"/>
      <protection locked="0"/>
    </xf>
    <xf numFmtId="189" fontId="8" fillId="39" borderId="0" xfId="0" applyNumberFormat="1" applyFont="1" applyFill="1" applyAlignment="1" applyProtection="1">
      <alignment/>
      <protection locked="0"/>
    </xf>
    <xf numFmtId="2" fontId="11" fillId="39" borderId="16" xfId="0" applyNumberFormat="1" applyFont="1" applyFill="1" applyBorder="1" applyAlignment="1" applyProtection="1">
      <alignment horizontal="right"/>
      <protection locked="0"/>
    </xf>
    <xf numFmtId="178" fontId="11" fillId="34" borderId="0" xfId="0" applyNumberFormat="1" applyFont="1" applyFill="1" applyBorder="1" applyAlignment="1" applyProtection="1">
      <alignment/>
      <protection/>
    </xf>
    <xf numFmtId="0" fontId="11" fillId="38" borderId="0" xfId="0" applyFont="1" applyFill="1" applyBorder="1" applyAlignment="1" applyProtection="1">
      <alignment horizontal="right"/>
      <protection/>
    </xf>
    <xf numFmtId="193" fontId="11" fillId="39" borderId="0" xfId="0" applyNumberFormat="1" applyFont="1" applyFill="1" applyBorder="1" applyAlignment="1" applyProtection="1">
      <alignment/>
      <protection locked="0"/>
    </xf>
    <xf numFmtId="205" fontId="11" fillId="39" borderId="0" xfId="0" applyNumberFormat="1" applyFont="1" applyFill="1" applyBorder="1" applyAlignment="1" applyProtection="1">
      <alignment/>
      <protection locked="0"/>
    </xf>
    <xf numFmtId="2" fontId="8" fillId="39" borderId="0" xfId="0" applyNumberFormat="1" applyFont="1" applyFill="1" applyAlignment="1">
      <alignment horizontal="right"/>
    </xf>
    <xf numFmtId="178" fontId="8" fillId="39" borderId="0" xfId="0" applyNumberFormat="1" applyFont="1" applyFill="1" applyAlignment="1">
      <alignment/>
    </xf>
    <xf numFmtId="2" fontId="8" fillId="39" borderId="0" xfId="0" applyNumberFormat="1" applyFont="1" applyFill="1" applyAlignment="1">
      <alignment/>
    </xf>
    <xf numFmtId="0" fontId="11" fillId="33" borderId="0" xfId="0" applyFont="1" applyFill="1" applyAlignment="1" applyProtection="1">
      <alignment horizontal="right"/>
      <protection/>
    </xf>
    <xf numFmtId="0" fontId="17" fillId="0" borderId="0" xfId="0" applyFont="1" applyAlignment="1">
      <alignment horizontal="center"/>
    </xf>
    <xf numFmtId="1" fontId="18" fillId="0" borderId="0" xfId="0" applyNumberFormat="1" applyFont="1" applyAlignment="1" applyProtection="1">
      <alignment/>
      <protection/>
    </xf>
    <xf numFmtId="0" fontId="11" fillId="33" borderId="0" xfId="0" applyFont="1" applyFill="1" applyBorder="1" applyAlignment="1" applyProtection="1">
      <alignment horizontal="right"/>
      <protection/>
    </xf>
    <xf numFmtId="0" fontId="19" fillId="33" borderId="0" xfId="0" applyFont="1" applyFill="1" applyAlignment="1" applyProtection="1">
      <alignment horizontal="right"/>
      <protection/>
    </xf>
    <xf numFmtId="180" fontId="11" fillId="39" borderId="16" xfId="0" applyNumberFormat="1" applyFont="1" applyFill="1" applyBorder="1" applyAlignment="1" applyProtection="1">
      <alignment horizontal="right"/>
      <protection locked="0"/>
    </xf>
    <xf numFmtId="0" fontId="20" fillId="33" borderId="0" xfId="0" applyFont="1" applyFill="1" applyAlignment="1" applyProtection="1">
      <alignment horizontal="right"/>
      <protection/>
    </xf>
    <xf numFmtId="0" fontId="20" fillId="33" borderId="0" xfId="0" applyFont="1" applyFill="1" applyBorder="1" applyAlignment="1" applyProtection="1">
      <alignment horizontal="right"/>
      <protection/>
    </xf>
    <xf numFmtId="0" fontId="19" fillId="33" borderId="0" xfId="0" applyFont="1" applyFill="1" applyBorder="1" applyAlignment="1" applyProtection="1">
      <alignment horizontal="right"/>
      <protection/>
    </xf>
    <xf numFmtId="0" fontId="4" fillId="33" borderId="0" xfId="0" applyFont="1" applyFill="1" applyBorder="1" applyAlignment="1" applyProtection="1">
      <alignment horizontal="right"/>
      <protection/>
    </xf>
    <xf numFmtId="0" fontId="13" fillId="33" borderId="0" xfId="0" applyFont="1" applyFill="1" applyBorder="1" applyAlignment="1" applyProtection="1">
      <alignment/>
      <protection/>
    </xf>
    <xf numFmtId="0" fontId="8" fillId="42" borderId="0" xfId="0" applyFont="1" applyFill="1" applyAlignment="1" applyProtection="1">
      <alignment horizontal="left"/>
      <protection locked="0"/>
    </xf>
    <xf numFmtId="195" fontId="8" fillId="34" borderId="0" xfId="0" applyNumberFormat="1" applyFont="1" applyFill="1" applyBorder="1" applyAlignment="1" applyProtection="1">
      <alignment/>
      <protection/>
    </xf>
    <xf numFmtId="0" fontId="2" fillId="41" borderId="0" xfId="0" applyFont="1" applyFill="1" applyAlignment="1" applyProtection="1">
      <alignment/>
      <protection locked="0"/>
    </xf>
    <xf numFmtId="3" fontId="8" fillId="39" borderId="0" xfId="0" applyNumberFormat="1" applyFont="1" applyFill="1" applyBorder="1" applyAlignment="1" applyProtection="1">
      <alignment horizontal="right"/>
      <protection locked="0"/>
    </xf>
    <xf numFmtId="0" fontId="8" fillId="34" borderId="0" xfId="0" applyFont="1" applyFill="1" applyAlignment="1" applyProtection="1">
      <alignment horizontal="right" wrapText="1"/>
      <protection/>
    </xf>
    <xf numFmtId="4" fontId="8" fillId="39" borderId="0" xfId="0" applyNumberFormat="1" applyFont="1" applyFill="1" applyBorder="1" applyAlignment="1" applyProtection="1">
      <alignment horizontal="right"/>
      <protection locked="0"/>
    </xf>
    <xf numFmtId="0" fontId="8" fillId="38" borderId="0" xfId="0" applyFont="1" applyFill="1" applyAlignment="1" applyProtection="1">
      <alignment horizontal="left" indent="1"/>
      <protection locked="0"/>
    </xf>
    <xf numFmtId="0" fontId="8" fillId="38" borderId="10" xfId="0" applyFont="1" applyFill="1" applyBorder="1" applyAlignment="1" applyProtection="1">
      <alignment horizontal="left" indent="1"/>
      <protection locked="0"/>
    </xf>
    <xf numFmtId="4" fontId="8" fillId="39" borderId="10" xfId="0" applyNumberFormat="1" applyFont="1" applyFill="1" applyBorder="1" applyAlignment="1" applyProtection="1">
      <alignment horizontal="right"/>
      <protection locked="0"/>
    </xf>
    <xf numFmtId="3" fontId="8" fillId="39" borderId="10" xfId="0" applyNumberFormat="1" applyFont="1" applyFill="1" applyBorder="1" applyAlignment="1" applyProtection="1">
      <alignment horizontal="right"/>
      <protection locked="0"/>
    </xf>
    <xf numFmtId="0" fontId="8" fillId="38" borderId="0" xfId="0" applyFont="1" applyFill="1" applyAlignment="1" applyProtection="1">
      <alignment horizontal="left"/>
      <protection locked="0"/>
    </xf>
    <xf numFmtId="1" fontId="8" fillId="40" borderId="0" xfId="0" applyNumberFormat="1" applyFont="1" applyFill="1" applyAlignment="1" applyProtection="1">
      <alignment/>
      <protection locked="0"/>
    </xf>
    <xf numFmtId="178" fontId="8" fillId="34" borderId="0" xfId="0" applyNumberFormat="1" applyFont="1" applyFill="1" applyBorder="1" applyAlignment="1" applyProtection="1">
      <alignment horizontal="center"/>
      <protection/>
    </xf>
    <xf numFmtId="3" fontId="8" fillId="42" borderId="0" xfId="0" applyNumberFormat="1" applyFont="1" applyFill="1" applyBorder="1" applyAlignment="1" applyProtection="1">
      <alignment/>
      <protection/>
    </xf>
    <xf numFmtId="3" fontId="8" fillId="34" borderId="0" xfId="0" applyNumberFormat="1" applyFont="1" applyFill="1" applyBorder="1" applyAlignment="1" applyProtection="1">
      <alignment/>
      <protection/>
    </xf>
    <xf numFmtId="2" fontId="8" fillId="34" borderId="0" xfId="0" applyNumberFormat="1" applyFont="1" applyFill="1" applyBorder="1" applyAlignment="1" applyProtection="1">
      <alignment/>
      <protection/>
    </xf>
    <xf numFmtId="178" fontId="8" fillId="40" borderId="0" xfId="0" applyNumberFormat="1" applyFont="1" applyFill="1" applyBorder="1" applyAlignment="1" applyProtection="1">
      <alignment/>
      <protection locked="0"/>
    </xf>
    <xf numFmtId="3" fontId="8" fillId="40" borderId="0" xfId="0" applyNumberFormat="1" applyFont="1" applyFill="1" applyBorder="1" applyAlignment="1" applyProtection="1">
      <alignment/>
      <protection locked="0"/>
    </xf>
    <xf numFmtId="2" fontId="8" fillId="0" borderId="0" xfId="0" applyNumberFormat="1" applyFont="1" applyBorder="1" applyAlignment="1" applyProtection="1">
      <alignment horizontal="right"/>
      <protection/>
    </xf>
    <xf numFmtId="0" fontId="4" fillId="34" borderId="0" xfId="0" applyFont="1" applyFill="1" applyAlignment="1">
      <alignment horizontal="left"/>
    </xf>
    <xf numFmtId="0" fontId="2" fillId="37" borderId="0" xfId="0" applyFont="1" applyFill="1" applyAlignment="1">
      <alignment/>
    </xf>
    <xf numFmtId="0" fontId="10" fillId="34" borderId="0" xfId="0" applyFont="1" applyFill="1" applyAlignment="1">
      <alignment/>
    </xf>
    <xf numFmtId="0" fontId="8" fillId="34" borderId="13" xfId="0" applyFont="1" applyFill="1" applyBorder="1" applyAlignment="1">
      <alignment/>
    </xf>
    <xf numFmtId="0" fontId="10" fillId="34" borderId="0" xfId="0" applyFont="1" applyFill="1" applyAlignment="1" applyProtection="1">
      <alignment/>
      <protection locked="0"/>
    </xf>
    <xf numFmtId="0" fontId="8" fillId="34" borderId="13" xfId="0" applyFont="1" applyFill="1" applyBorder="1" applyAlignment="1" applyProtection="1">
      <alignment/>
      <protection locked="0"/>
    </xf>
    <xf numFmtId="3" fontId="8" fillId="34" borderId="16" xfId="0" applyNumberFormat="1" applyFont="1" applyFill="1" applyBorder="1" applyAlignment="1" applyProtection="1">
      <alignment horizontal="right"/>
      <protection locked="0"/>
    </xf>
    <xf numFmtId="193" fontId="8" fillId="34" borderId="16" xfId="0" applyNumberFormat="1" applyFont="1" applyFill="1" applyBorder="1" applyAlignment="1" applyProtection="1">
      <alignment horizontal="right"/>
      <protection locked="0"/>
    </xf>
    <xf numFmtId="3" fontId="8" fillId="34" borderId="13" xfId="0" applyNumberFormat="1" applyFont="1" applyFill="1" applyBorder="1" applyAlignment="1" applyProtection="1">
      <alignment/>
      <protection locked="0"/>
    </xf>
    <xf numFmtId="0" fontId="8" fillId="34" borderId="11" xfId="0" applyFont="1" applyFill="1" applyBorder="1" applyAlignment="1">
      <alignment horizontal="right"/>
    </xf>
    <xf numFmtId="184" fontId="8" fillId="34" borderId="13" xfId="0" applyNumberFormat="1" applyFont="1" applyFill="1" applyBorder="1" applyAlignment="1" applyProtection="1">
      <alignment horizontal="center"/>
      <protection locked="0"/>
    </xf>
    <xf numFmtId="184" fontId="8" fillId="34" borderId="0" xfId="0" applyNumberFormat="1" applyFont="1" applyFill="1" applyBorder="1" applyAlignment="1" applyProtection="1">
      <alignment horizontal="center"/>
      <protection locked="0"/>
    </xf>
    <xf numFmtId="184" fontId="8" fillId="34" borderId="14" xfId="0" applyNumberFormat="1" applyFont="1" applyFill="1" applyBorder="1" applyAlignment="1" applyProtection="1">
      <alignment horizontal="center"/>
      <protection locked="0"/>
    </xf>
    <xf numFmtId="0" fontId="6" fillId="34" borderId="0" xfId="0" applyFont="1" applyFill="1" applyAlignment="1">
      <alignment/>
    </xf>
    <xf numFmtId="0" fontId="9" fillId="34" borderId="0" xfId="0" applyFont="1" applyFill="1" applyBorder="1" applyAlignment="1">
      <alignment horizontal="right"/>
    </xf>
    <xf numFmtId="2" fontId="8" fillId="34" borderId="14" xfId="0" applyNumberFormat="1" applyFont="1" applyFill="1" applyBorder="1" applyAlignment="1" applyProtection="1">
      <alignment horizontal="center"/>
      <protection locked="0"/>
    </xf>
    <xf numFmtId="3" fontId="8" fillId="34" borderId="0" xfId="0" applyNumberFormat="1" applyFont="1" applyFill="1" applyAlignment="1">
      <alignment/>
    </xf>
    <xf numFmtId="0" fontId="6" fillId="0" borderId="0" xfId="0" applyFont="1" applyAlignment="1">
      <alignment/>
    </xf>
    <xf numFmtId="184" fontId="8" fillId="0" borderId="13" xfId="0" applyNumberFormat="1" applyFont="1" applyBorder="1" applyAlignment="1" applyProtection="1">
      <alignment horizontal="center"/>
      <protection locked="0"/>
    </xf>
    <xf numFmtId="2" fontId="8" fillId="38" borderId="16" xfId="0" applyNumberFormat="1" applyFont="1" applyFill="1" applyBorder="1" applyAlignment="1" applyProtection="1">
      <alignment/>
      <protection locked="0"/>
    </xf>
    <xf numFmtId="195" fontId="8" fillId="34" borderId="0" xfId="0" applyNumberFormat="1" applyFont="1" applyFill="1" applyAlignment="1">
      <alignment/>
    </xf>
    <xf numFmtId="0" fontId="8" fillId="38" borderId="0" xfId="0" applyFont="1" applyFill="1" applyAlignment="1" applyProtection="1">
      <alignment/>
      <protection locked="0"/>
    </xf>
    <xf numFmtId="0" fontId="8" fillId="38" borderId="10" xfId="0" applyFont="1" applyFill="1" applyBorder="1" applyAlignment="1" applyProtection="1">
      <alignment/>
      <protection locked="0"/>
    </xf>
    <xf numFmtId="2" fontId="8" fillId="34" borderId="13" xfId="0" applyNumberFormat="1" applyFont="1" applyFill="1" applyBorder="1" applyAlignment="1" applyProtection="1">
      <alignment horizontal="center"/>
      <protection locked="0"/>
    </xf>
    <xf numFmtId="1" fontId="8" fillId="0" borderId="13" xfId="0" applyNumberFormat="1" applyFont="1" applyBorder="1" applyAlignment="1" applyProtection="1">
      <alignment horizontal="center"/>
      <protection locked="0"/>
    </xf>
    <xf numFmtId="0" fontId="8" fillId="34" borderId="11" xfId="0" applyFont="1" applyFill="1" applyBorder="1" applyAlignment="1">
      <alignment/>
    </xf>
    <xf numFmtId="0" fontId="8" fillId="33" borderId="0" xfId="0" applyFont="1" applyFill="1" applyAlignment="1" applyProtection="1">
      <alignment horizontal="right"/>
      <protection/>
    </xf>
    <xf numFmtId="0" fontId="8" fillId="33" borderId="0" xfId="0" applyFont="1" applyFill="1" applyBorder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0" fontId="5" fillId="33" borderId="0" xfId="0" applyFont="1" applyFill="1" applyBorder="1" applyAlignment="1" applyProtection="1">
      <alignment/>
      <protection/>
    </xf>
    <xf numFmtId="0" fontId="8" fillId="33" borderId="14" xfId="0" applyFont="1" applyFill="1" applyBorder="1" applyAlignment="1" applyProtection="1">
      <alignment horizontal="right"/>
      <protection/>
    </xf>
    <xf numFmtId="0" fontId="8" fillId="33" borderId="14" xfId="0" applyFont="1" applyFill="1" applyBorder="1" applyAlignment="1" applyProtection="1">
      <alignment/>
      <protection/>
    </xf>
    <xf numFmtId="0" fontId="17" fillId="0" borderId="0" xfId="0" applyFont="1" applyAlignment="1" applyProtection="1">
      <alignment horizontal="center"/>
      <protection/>
    </xf>
    <xf numFmtId="0" fontId="8" fillId="33" borderId="0" xfId="0" applyFont="1" applyFill="1" applyBorder="1" applyAlignment="1" applyProtection="1">
      <alignment horizontal="right"/>
      <protection/>
    </xf>
    <xf numFmtId="1" fontId="18" fillId="0" borderId="0" xfId="0" applyNumberFormat="1" applyFont="1" applyAlignment="1" applyProtection="1">
      <alignment horizontal="left" wrapText="1"/>
      <protection/>
    </xf>
    <xf numFmtId="0" fontId="2" fillId="43" borderId="0" xfId="0" applyFont="1" applyFill="1" applyAlignment="1" applyProtection="1">
      <alignment horizontal="left"/>
      <protection/>
    </xf>
    <xf numFmtId="0" fontId="4" fillId="33" borderId="0" xfId="0" applyFont="1" applyFill="1" applyAlignment="1" applyProtection="1">
      <alignment horizontal="center"/>
      <protection/>
    </xf>
    <xf numFmtId="0" fontId="11" fillId="39" borderId="0" xfId="0" applyFont="1" applyFill="1" applyBorder="1" applyAlignment="1" applyProtection="1">
      <alignment/>
      <protection/>
    </xf>
    <xf numFmtId="2" fontId="11" fillId="39" borderId="33" xfId="0" applyNumberFormat="1" applyFont="1" applyFill="1" applyBorder="1" applyAlignment="1" applyProtection="1">
      <alignment horizontal="right"/>
      <protection locked="0"/>
    </xf>
    <xf numFmtId="2" fontId="11" fillId="39" borderId="34" xfId="0" applyNumberFormat="1" applyFont="1" applyFill="1" applyBorder="1" applyAlignment="1" applyProtection="1">
      <alignment horizontal="right"/>
      <protection locked="0"/>
    </xf>
    <xf numFmtId="0" fontId="8" fillId="36" borderId="13" xfId="0" applyFont="1" applyFill="1" applyBorder="1" applyAlignment="1" applyProtection="1">
      <alignment horizontal="right"/>
      <protection/>
    </xf>
    <xf numFmtId="0" fontId="8" fillId="36" borderId="18" xfId="0" applyFont="1" applyFill="1" applyBorder="1" applyAlignment="1" applyProtection="1">
      <alignment horizontal="right"/>
      <protection/>
    </xf>
    <xf numFmtId="0" fontId="8" fillId="38" borderId="10" xfId="0" applyFont="1" applyFill="1" applyBorder="1" applyAlignment="1" applyProtection="1">
      <alignment horizontal="left"/>
      <protection locked="0"/>
    </xf>
    <xf numFmtId="2" fontId="14" fillId="39" borderId="25" xfId="0" applyNumberFormat="1" applyFont="1" applyFill="1" applyBorder="1" applyAlignment="1" applyProtection="1">
      <alignment/>
      <protection hidden="1" locked="0"/>
    </xf>
    <xf numFmtId="2" fontId="14" fillId="39" borderId="0" xfId="0" applyNumberFormat="1" applyFont="1" applyFill="1" applyBorder="1" applyAlignment="1" applyProtection="1">
      <alignment/>
      <protection hidden="1" locked="0"/>
    </xf>
    <xf numFmtId="189" fontId="11" fillId="39" borderId="0" xfId="0" applyNumberFormat="1" applyFont="1" applyFill="1" applyAlignment="1" applyProtection="1">
      <alignment/>
      <protection hidden="1" locked="0"/>
    </xf>
    <xf numFmtId="2" fontId="11" fillId="39" borderId="16" xfId="0" applyNumberFormat="1" applyFont="1" applyFill="1" applyBorder="1" applyAlignment="1" applyProtection="1">
      <alignment/>
      <protection hidden="1" locked="0"/>
    </xf>
    <xf numFmtId="2" fontId="11" fillId="39" borderId="25" xfId="0" applyNumberFormat="1" applyFont="1" applyFill="1" applyBorder="1" applyAlignment="1" applyProtection="1">
      <alignment/>
      <protection hidden="1" locked="0"/>
    </xf>
    <xf numFmtId="180" fontId="11" fillId="39" borderId="0" xfId="0" applyNumberFormat="1" applyFont="1" applyFill="1" applyAlignment="1" applyProtection="1">
      <alignment/>
      <protection hidden="1" locked="0"/>
    </xf>
    <xf numFmtId="2" fontId="11" fillId="39" borderId="13" xfId="0" applyNumberFormat="1" applyFont="1" applyFill="1" applyBorder="1" applyAlignment="1" applyProtection="1">
      <alignment/>
      <protection hidden="1" locked="0"/>
    </xf>
    <xf numFmtId="180" fontId="11" fillId="39" borderId="16" xfId="0" applyNumberFormat="1" applyFont="1" applyFill="1" applyBorder="1" applyAlignment="1" applyProtection="1">
      <alignment/>
      <protection hidden="1" locked="0"/>
    </xf>
    <xf numFmtId="202" fontId="11" fillId="39" borderId="16" xfId="0" applyNumberFormat="1" applyFont="1" applyFill="1" applyBorder="1" applyAlignment="1" applyProtection="1">
      <alignment/>
      <protection hidden="1" locked="0"/>
    </xf>
    <xf numFmtId="178" fontId="11" fillId="39" borderId="28" xfId="0" applyNumberFormat="1" applyFont="1" applyFill="1" applyBorder="1" applyAlignment="1" applyProtection="1">
      <alignment/>
      <protection hidden="1" locked="0"/>
    </xf>
    <xf numFmtId="184" fontId="11" fillId="39" borderId="16" xfId="0" applyNumberFormat="1" applyFont="1" applyFill="1" applyBorder="1" applyAlignment="1" applyProtection="1">
      <alignment/>
      <protection hidden="1" locked="0"/>
    </xf>
    <xf numFmtId="202" fontId="11" fillId="39" borderId="0" xfId="0" applyNumberFormat="1" applyFont="1" applyFill="1" applyBorder="1" applyAlignment="1" applyProtection="1">
      <alignment/>
      <protection hidden="1" locked="0"/>
    </xf>
    <xf numFmtId="2" fontId="11" fillId="39" borderId="28" xfId="0" applyNumberFormat="1" applyFont="1" applyFill="1" applyBorder="1" applyAlignment="1" applyProtection="1">
      <alignment/>
      <protection hidden="1" locked="0"/>
    </xf>
    <xf numFmtId="2" fontId="11" fillId="39" borderId="12" xfId="0" applyNumberFormat="1" applyFont="1" applyFill="1" applyBorder="1" applyAlignment="1" applyProtection="1">
      <alignment/>
      <protection hidden="1" locked="0"/>
    </xf>
    <xf numFmtId="0" fontId="8" fillId="39" borderId="13" xfId="0" applyFont="1" applyFill="1" applyBorder="1" applyAlignment="1" applyProtection="1">
      <alignment/>
      <protection hidden="1" locked="0"/>
    </xf>
    <xf numFmtId="3" fontId="8" fillId="39" borderId="16" xfId="0" applyNumberFormat="1" applyFont="1" applyFill="1" applyBorder="1" applyAlignment="1" applyProtection="1">
      <alignment horizontal="right"/>
      <protection hidden="1" locked="0"/>
    </xf>
    <xf numFmtId="3" fontId="8" fillId="39" borderId="24" xfId="0" applyNumberFormat="1" applyFont="1" applyFill="1" applyBorder="1" applyAlignment="1" applyProtection="1">
      <alignment/>
      <protection hidden="1" locked="0"/>
    </xf>
    <xf numFmtId="193" fontId="8" fillId="39" borderId="24" xfId="0" applyNumberFormat="1" applyFont="1" applyFill="1" applyBorder="1" applyAlignment="1" applyProtection="1">
      <alignment horizontal="right"/>
      <protection hidden="1" locked="0"/>
    </xf>
    <xf numFmtId="3" fontId="8" fillId="39" borderId="16" xfId="0" applyNumberFormat="1" applyFont="1" applyFill="1" applyBorder="1" applyAlignment="1" applyProtection="1">
      <alignment/>
      <protection hidden="1" locked="0"/>
    </xf>
    <xf numFmtId="193" fontId="8" fillId="39" borderId="13" xfId="0" applyNumberFormat="1" applyFont="1" applyFill="1" applyBorder="1" applyAlignment="1" applyProtection="1">
      <alignment horizontal="right"/>
      <protection hidden="1" locked="0"/>
    </xf>
    <xf numFmtId="2" fontId="8" fillId="39" borderId="13" xfId="0" applyNumberFormat="1" applyFont="1" applyFill="1" applyBorder="1" applyAlignment="1" applyProtection="1">
      <alignment/>
      <protection hidden="1" locked="0"/>
    </xf>
    <xf numFmtId="3" fontId="8" fillId="40" borderId="13" xfId="0" applyNumberFormat="1" applyFont="1" applyFill="1" applyBorder="1" applyAlignment="1" applyProtection="1">
      <alignment/>
      <protection hidden="1" locked="0"/>
    </xf>
    <xf numFmtId="2" fontId="8" fillId="39" borderId="14" xfId="0" applyNumberFormat="1" applyFont="1" applyFill="1" applyBorder="1" applyAlignment="1" applyProtection="1">
      <alignment horizontal="center"/>
      <protection hidden="1" locked="0"/>
    </xf>
    <xf numFmtId="3" fontId="8" fillId="40" borderId="16" xfId="0" applyNumberFormat="1" applyFont="1" applyFill="1" applyBorder="1" applyAlignment="1" applyProtection="1">
      <alignment/>
      <protection hidden="1" locked="0"/>
    </xf>
    <xf numFmtId="2" fontId="8" fillId="40" borderId="16" xfId="0" applyNumberFormat="1" applyFont="1" applyFill="1" applyBorder="1" applyAlignment="1" applyProtection="1">
      <alignment/>
      <protection hidden="1" locked="0"/>
    </xf>
    <xf numFmtId="1" fontId="8" fillId="40" borderId="16" xfId="0" applyNumberFormat="1" applyFont="1" applyFill="1" applyBorder="1" applyAlignment="1" applyProtection="1">
      <alignment/>
      <protection hidden="1" locked="0"/>
    </xf>
    <xf numFmtId="3" fontId="8" fillId="40" borderId="0" xfId="0" applyNumberFormat="1" applyFont="1" applyFill="1" applyAlignment="1" applyProtection="1">
      <alignment/>
      <protection hidden="1" locked="0"/>
    </xf>
    <xf numFmtId="2" fontId="8" fillId="39" borderId="0" xfId="0" applyNumberFormat="1" applyFont="1" applyFill="1" applyBorder="1" applyAlignment="1" applyProtection="1">
      <alignment/>
      <protection hidden="1" locked="0"/>
    </xf>
    <xf numFmtId="2" fontId="8" fillId="40" borderId="0" xfId="0" applyNumberFormat="1" applyFont="1" applyFill="1" applyAlignment="1" applyProtection="1">
      <alignment/>
      <protection hidden="1" locked="0"/>
    </xf>
    <xf numFmtId="4" fontId="8" fillId="40" borderId="0" xfId="0" applyNumberFormat="1" applyFont="1" applyFill="1" applyAlignment="1" applyProtection="1">
      <alignment/>
      <protection hidden="1" locked="0"/>
    </xf>
    <xf numFmtId="3" fontId="8" fillId="39" borderId="0" xfId="0" applyNumberFormat="1" applyFont="1" applyFill="1" applyBorder="1" applyAlignment="1" applyProtection="1">
      <alignment horizontal="right"/>
      <protection hidden="1" locked="0"/>
    </xf>
    <xf numFmtId="3" fontId="8" fillId="39" borderId="13" xfId="0" applyNumberFormat="1" applyFont="1" applyFill="1" applyBorder="1" applyAlignment="1" applyProtection="1">
      <alignment horizontal="right"/>
      <protection hidden="1" locked="0"/>
    </xf>
    <xf numFmtId="4" fontId="8" fillId="39" borderId="13" xfId="0" applyNumberFormat="1" applyFont="1" applyFill="1" applyBorder="1" applyAlignment="1" applyProtection="1">
      <alignment/>
      <protection hidden="1" locked="0"/>
    </xf>
    <xf numFmtId="4" fontId="8" fillId="40" borderId="13" xfId="0" applyNumberFormat="1" applyFont="1" applyFill="1" applyBorder="1" applyAlignment="1" applyProtection="1">
      <alignment/>
      <protection hidden="1" locked="0"/>
    </xf>
    <xf numFmtId="183" fontId="8" fillId="39" borderId="14" xfId="0" applyNumberFormat="1" applyFont="1" applyFill="1" applyBorder="1" applyAlignment="1" applyProtection="1">
      <alignment horizontal="right"/>
      <protection hidden="1" locked="0"/>
    </xf>
    <xf numFmtId="178" fontId="8" fillId="40" borderId="16" xfId="0" applyNumberFormat="1" applyFont="1" applyFill="1" applyBorder="1" applyAlignment="1" applyProtection="1">
      <alignment/>
      <protection hidden="1" locked="0"/>
    </xf>
    <xf numFmtId="2" fontId="11" fillId="39" borderId="25" xfId="0" applyNumberFormat="1" applyFont="1" applyFill="1" applyBorder="1" applyAlignment="1" applyProtection="1">
      <alignment/>
      <protection locked="0"/>
    </xf>
    <xf numFmtId="2" fontId="11" fillId="34" borderId="13" xfId="0" applyNumberFormat="1" applyFont="1" applyFill="1" applyBorder="1" applyAlignment="1" applyProtection="1">
      <alignment/>
      <protection locked="0"/>
    </xf>
    <xf numFmtId="192" fontId="11" fillId="34" borderId="0" xfId="0" applyNumberFormat="1" applyFont="1" applyFill="1" applyAlignment="1" applyProtection="1">
      <alignment horizontal="center"/>
      <protection/>
    </xf>
    <xf numFmtId="0" fontId="11" fillId="34" borderId="0" xfId="0" applyFont="1" applyFill="1" applyAlignment="1" applyProtection="1">
      <alignment/>
      <protection/>
    </xf>
    <xf numFmtId="0" fontId="11" fillId="34" borderId="13" xfId="0" applyFont="1" applyFill="1" applyBorder="1" applyAlignment="1" applyProtection="1">
      <alignment/>
      <protection/>
    </xf>
    <xf numFmtId="0" fontId="14" fillId="38" borderId="0" xfId="0" applyFont="1" applyFill="1" applyBorder="1" applyAlignment="1" applyProtection="1">
      <alignment horizontal="center"/>
      <protection/>
    </xf>
    <xf numFmtId="0" fontId="11" fillId="38" borderId="0" xfId="0" applyFont="1" applyFill="1" applyBorder="1" applyAlignment="1" applyProtection="1">
      <alignment horizontal="center"/>
      <protection/>
    </xf>
    <xf numFmtId="0" fontId="11" fillId="38" borderId="25" xfId="0" applyFont="1" applyFill="1" applyBorder="1" applyAlignment="1" applyProtection="1">
      <alignment horizontal="center"/>
      <protection/>
    </xf>
    <xf numFmtId="0" fontId="9" fillId="33" borderId="0" xfId="0" applyFont="1" applyFill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0" fontId="8" fillId="33" borderId="0" xfId="0" applyFont="1" applyFill="1" applyBorder="1" applyAlignment="1" applyProtection="1">
      <alignment horizontal="right" wrapText="1"/>
      <protection/>
    </xf>
    <xf numFmtId="0" fontId="0" fillId="0" borderId="0" xfId="0" applyAlignment="1" applyProtection="1">
      <alignment/>
      <protection/>
    </xf>
    <xf numFmtId="1" fontId="18" fillId="0" borderId="0" xfId="0" applyNumberFormat="1" applyFont="1" applyAlignment="1" applyProtection="1">
      <alignment horizontal="left" wrapText="1"/>
      <protection/>
    </xf>
    <xf numFmtId="0" fontId="8" fillId="34" borderId="0" xfId="0" applyFont="1" applyFill="1" applyAlignment="1" applyProtection="1">
      <alignment horizontal="left"/>
      <protection/>
    </xf>
    <xf numFmtId="0" fontId="9" fillId="36" borderId="0" xfId="0" applyFont="1" applyFill="1" applyBorder="1" applyAlignment="1" applyProtection="1">
      <alignment horizontal="center"/>
      <protection/>
    </xf>
    <xf numFmtId="0" fontId="9" fillId="34" borderId="14" xfId="0" applyFont="1" applyFill="1" applyBorder="1" applyAlignment="1" applyProtection="1">
      <alignment horizontal="center"/>
      <protection/>
    </xf>
    <xf numFmtId="0" fontId="9" fillId="34" borderId="13" xfId="0" applyFont="1" applyFill="1" applyBorder="1" applyAlignment="1" applyProtection="1">
      <alignment horizontal="center"/>
      <protection/>
    </xf>
    <xf numFmtId="0" fontId="8" fillId="34" borderId="11" xfId="0" applyFont="1" applyFill="1" applyBorder="1" applyAlignment="1" applyProtection="1">
      <alignment horizontal="center"/>
      <protection/>
    </xf>
    <xf numFmtId="3" fontId="8" fillId="39" borderId="22" xfId="0" applyNumberFormat="1" applyFont="1" applyFill="1" applyBorder="1" applyAlignment="1" applyProtection="1">
      <alignment horizontal="center"/>
      <protection hidden="1" locked="0"/>
    </xf>
    <xf numFmtId="3" fontId="8" fillId="39" borderId="15" xfId="0" applyNumberFormat="1" applyFont="1" applyFill="1" applyBorder="1" applyAlignment="1" applyProtection="1">
      <alignment horizontal="center"/>
      <protection hidden="1" locked="0"/>
    </xf>
    <xf numFmtId="3" fontId="8" fillId="39" borderId="12" xfId="0" applyNumberFormat="1" applyFont="1" applyFill="1" applyBorder="1" applyAlignment="1" applyProtection="1">
      <alignment horizontal="center"/>
      <protection hidden="1" locked="0"/>
    </xf>
    <xf numFmtId="4" fontId="8" fillId="39" borderId="14" xfId="0" applyNumberFormat="1" applyFont="1" applyFill="1" applyBorder="1" applyAlignment="1" applyProtection="1">
      <alignment horizontal="center"/>
      <protection hidden="1" locked="0"/>
    </xf>
    <xf numFmtId="4" fontId="8" fillId="39" borderId="0" xfId="0" applyNumberFormat="1" applyFont="1" applyFill="1" applyBorder="1" applyAlignment="1" applyProtection="1">
      <alignment horizontal="center"/>
      <protection hidden="1" locked="0"/>
    </xf>
    <xf numFmtId="4" fontId="8" fillId="39" borderId="13" xfId="0" applyNumberFormat="1" applyFont="1" applyFill="1" applyBorder="1" applyAlignment="1" applyProtection="1">
      <alignment horizontal="center"/>
      <protection hidden="1" locked="0"/>
    </xf>
    <xf numFmtId="3" fontId="8" fillId="34" borderId="21" xfId="0" applyNumberFormat="1" applyFont="1" applyFill="1" applyBorder="1" applyAlignment="1" applyProtection="1">
      <alignment horizontal="center"/>
      <protection locked="0"/>
    </xf>
    <xf numFmtId="3" fontId="8" fillId="34" borderId="11" xfId="0" applyNumberFormat="1" applyFont="1" applyFill="1" applyBorder="1" applyAlignment="1" applyProtection="1">
      <alignment horizontal="center"/>
      <protection locked="0"/>
    </xf>
    <xf numFmtId="3" fontId="8" fillId="34" borderId="18" xfId="0" applyNumberFormat="1" applyFont="1" applyFill="1" applyBorder="1" applyAlignment="1" applyProtection="1">
      <alignment horizontal="center"/>
      <protection locked="0"/>
    </xf>
    <xf numFmtId="178" fontId="9" fillId="34" borderId="0" xfId="0" applyNumberFormat="1" applyFont="1" applyFill="1" applyBorder="1" applyAlignment="1" applyProtection="1">
      <alignment horizontal="center"/>
      <protection/>
    </xf>
    <xf numFmtId="178" fontId="9" fillId="34" borderId="13" xfId="0" applyNumberFormat="1" applyFont="1" applyFill="1" applyBorder="1" applyAlignment="1" applyProtection="1">
      <alignment horizontal="center"/>
      <protection/>
    </xf>
    <xf numFmtId="3" fontId="8" fillId="39" borderId="16" xfId="0" applyNumberFormat="1" applyFont="1" applyFill="1" applyBorder="1" applyAlignment="1" applyProtection="1">
      <alignment horizontal="right"/>
      <protection locked="0"/>
    </xf>
    <xf numFmtId="3" fontId="8" fillId="39" borderId="17" xfId="0" applyNumberFormat="1" applyFont="1" applyFill="1" applyBorder="1" applyAlignment="1" applyProtection="1">
      <alignment horizontal="right"/>
      <protection locked="0"/>
    </xf>
    <xf numFmtId="3" fontId="8" fillId="39" borderId="35" xfId="0" applyNumberFormat="1" applyFont="1" applyFill="1" applyBorder="1" applyAlignment="1" applyProtection="1">
      <alignment horizontal="right"/>
      <protection locked="0"/>
    </xf>
    <xf numFmtId="3" fontId="8" fillId="39" borderId="12" xfId="0" applyNumberFormat="1" applyFont="1" applyFill="1" applyBorder="1" applyAlignment="1" applyProtection="1">
      <alignment horizontal="righ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338"/>
  <sheetViews>
    <sheetView tabSelected="1" zoomScalePageLayoutView="0" workbookViewId="0" topLeftCell="A1">
      <selection activeCell="G7" sqref="G7"/>
    </sheetView>
  </sheetViews>
  <sheetFormatPr defaultColWidth="9.140625" defaultRowHeight="12.75"/>
  <cols>
    <col min="1" max="1" width="5.8515625" style="12" customWidth="1"/>
    <col min="2" max="2" width="22.8515625" style="4" customWidth="1"/>
    <col min="3" max="3" width="7.7109375" style="6" customWidth="1"/>
    <col min="4" max="4" width="9.421875" style="6" customWidth="1"/>
    <col min="5" max="5" width="11.00390625" style="3" customWidth="1"/>
    <col min="6" max="6" width="9.140625" style="3" customWidth="1"/>
    <col min="7" max="7" width="12.57421875" style="10" customWidth="1"/>
    <col min="8" max="8" width="9.421875" style="3" customWidth="1"/>
    <col min="9" max="18" width="9.140625" style="12" customWidth="1"/>
    <col min="19" max="19" width="9.7109375" style="12" bestFit="1" customWidth="1"/>
    <col min="20" max="16384" width="9.140625" style="3" customWidth="1"/>
  </cols>
  <sheetData>
    <row r="1" spans="2:14" ht="10.5">
      <c r="B1" s="1" t="s">
        <v>11</v>
      </c>
      <c r="C1" s="1"/>
      <c r="D1" s="1" t="s">
        <v>192</v>
      </c>
      <c r="E1" s="1"/>
      <c r="F1" s="1"/>
      <c r="G1" s="1"/>
      <c r="H1" s="1"/>
      <c r="I1" s="1"/>
      <c r="J1" s="1"/>
      <c r="K1" s="1"/>
      <c r="L1" s="1"/>
      <c r="M1" s="1"/>
      <c r="N1" s="1"/>
    </row>
    <row r="2" spans="2:8" ht="10.5">
      <c r="B2" s="1" t="s">
        <v>347</v>
      </c>
      <c r="C2" s="1"/>
      <c r="D2" s="1"/>
      <c r="E2" s="1"/>
      <c r="F2" s="1"/>
      <c r="G2" s="1"/>
      <c r="H2" s="1"/>
    </row>
    <row r="3" spans="2:8" ht="10.5">
      <c r="B3" s="193" t="s">
        <v>194</v>
      </c>
      <c r="C3" s="194" t="s">
        <v>194</v>
      </c>
      <c r="D3" s="194"/>
      <c r="E3" s="2" t="s">
        <v>62</v>
      </c>
      <c r="F3" s="157">
        <v>2011</v>
      </c>
      <c r="G3" s="6" t="s">
        <v>83</v>
      </c>
      <c r="H3" s="86">
        <f ca="1">NOW()</f>
        <v>41611.62405960648</v>
      </c>
    </row>
    <row r="4" spans="2:8" ht="12.75">
      <c r="B4" s="193" t="s">
        <v>195</v>
      </c>
      <c r="C4" s="220" t="s">
        <v>323</v>
      </c>
      <c r="E4" s="5"/>
      <c r="F4" s="6" t="s">
        <v>85</v>
      </c>
      <c r="G4" s="156" t="s">
        <v>350</v>
      </c>
      <c r="H4" s="195"/>
    </row>
    <row r="5" spans="2:8" ht="12.75">
      <c r="B5" s="4" t="s">
        <v>63</v>
      </c>
      <c r="C5" s="196" t="s">
        <v>348</v>
      </c>
      <c r="D5" s="5"/>
      <c r="E5" s="4"/>
      <c r="F5" s="4"/>
      <c r="G5" s="4"/>
      <c r="H5" s="4"/>
    </row>
    <row r="6" spans="2:8" ht="10.5">
      <c r="B6" s="4" t="s">
        <v>64</v>
      </c>
      <c r="C6" s="197">
        <v>2</v>
      </c>
      <c r="D6" s="5"/>
      <c r="E6" s="5"/>
      <c r="F6" s="4"/>
      <c r="H6" s="4"/>
    </row>
    <row r="7" spans="2:8" ht="10.5">
      <c r="B7" s="4" t="s">
        <v>65</v>
      </c>
      <c r="C7" s="165">
        <v>0</v>
      </c>
      <c r="D7" s="5"/>
      <c r="E7" s="5"/>
      <c r="F7" s="4"/>
      <c r="G7" s="6"/>
      <c r="H7" s="4"/>
    </row>
    <row r="8" spans="2:8" ht="10.5">
      <c r="B8" s="4" t="s">
        <v>66</v>
      </c>
      <c r="C8" s="165">
        <v>0</v>
      </c>
      <c r="D8" s="5"/>
      <c r="E8" s="5"/>
      <c r="F8" s="4"/>
      <c r="G8" s="6"/>
      <c r="H8" s="4"/>
    </row>
    <row r="9" spans="2:8" ht="10.5">
      <c r="B9" s="4" t="s">
        <v>3</v>
      </c>
      <c r="D9" s="6" t="s">
        <v>4</v>
      </c>
      <c r="E9" s="157">
        <v>1.4</v>
      </c>
      <c r="F9" s="4"/>
      <c r="G9" s="6" t="s">
        <v>5</v>
      </c>
      <c r="H9" s="157">
        <v>0</v>
      </c>
    </row>
    <row r="10" spans="3:8" ht="10.5">
      <c r="C10" s="3"/>
      <c r="D10" s="8" t="s">
        <v>6</v>
      </c>
      <c r="E10" s="158">
        <v>0.6</v>
      </c>
      <c r="F10" s="7"/>
      <c r="G10" s="8" t="s">
        <v>7</v>
      </c>
      <c r="H10" s="158">
        <v>0</v>
      </c>
    </row>
    <row r="11" spans="5:8" ht="6.75" customHeight="1">
      <c r="E11" s="4"/>
      <c r="F11" s="4"/>
      <c r="G11" s="6"/>
      <c r="H11" s="4"/>
    </row>
    <row r="12" spans="2:8" ht="10.5">
      <c r="B12" s="4" t="s">
        <v>59</v>
      </c>
      <c r="E12" s="159">
        <v>5</v>
      </c>
      <c r="F12" s="4"/>
      <c r="G12" s="6"/>
      <c r="H12" s="4"/>
    </row>
    <row r="13" spans="2:8" ht="10.5">
      <c r="B13" s="4" t="s">
        <v>60</v>
      </c>
      <c r="E13" s="159">
        <v>4</v>
      </c>
      <c r="F13" s="4"/>
      <c r="G13" s="6"/>
      <c r="H13" s="4"/>
    </row>
    <row r="14" spans="4:8" ht="10.5">
      <c r="D14" s="6" t="s">
        <v>9</v>
      </c>
      <c r="E14" s="159">
        <v>4</v>
      </c>
      <c r="F14" s="4"/>
      <c r="G14" s="6"/>
      <c r="H14" s="4"/>
    </row>
    <row r="15" spans="4:8" ht="10.5">
      <c r="D15" s="6" t="s">
        <v>10</v>
      </c>
      <c r="E15" s="159">
        <v>0</v>
      </c>
      <c r="F15" s="4"/>
      <c r="G15" s="6"/>
      <c r="H15" s="4"/>
    </row>
    <row r="16" spans="2:8" ht="10.5">
      <c r="B16" s="4" t="s">
        <v>82</v>
      </c>
      <c r="E16" s="159">
        <v>4</v>
      </c>
      <c r="F16" s="4"/>
      <c r="G16" s="6"/>
      <c r="H16" s="4"/>
    </row>
    <row r="17" spans="2:8" ht="10.5">
      <c r="B17" s="4" t="s">
        <v>67</v>
      </c>
      <c r="E17" s="157">
        <v>0</v>
      </c>
      <c r="F17" s="157"/>
      <c r="G17" s="160"/>
      <c r="H17" s="4"/>
    </row>
    <row r="18" spans="2:8" ht="10.5">
      <c r="B18" s="4" t="s">
        <v>68</v>
      </c>
      <c r="E18" s="157" t="s">
        <v>196</v>
      </c>
      <c r="F18" s="4"/>
      <c r="G18" s="6"/>
      <c r="H18" s="4"/>
    </row>
    <row r="19" spans="2:8" ht="10.5">
      <c r="B19" s="4" t="s">
        <v>69</v>
      </c>
      <c r="E19" s="157" t="s">
        <v>197</v>
      </c>
      <c r="F19" s="157"/>
      <c r="G19" s="157"/>
      <c r="H19" s="4"/>
    </row>
    <row r="20" spans="2:8" ht="10.5">
      <c r="B20" s="4" t="s">
        <v>70</v>
      </c>
      <c r="E20" s="157" t="s">
        <v>198</v>
      </c>
      <c r="F20" s="157"/>
      <c r="G20" s="157"/>
      <c r="H20" s="4"/>
    </row>
    <row r="21" spans="5:8" ht="6.75" customHeight="1">
      <c r="E21" s="4"/>
      <c r="F21" s="4"/>
      <c r="G21" s="6"/>
      <c r="H21" s="4"/>
    </row>
    <row r="22" spans="2:8" ht="10.5">
      <c r="B22" s="4" t="s">
        <v>0</v>
      </c>
      <c r="E22" s="159">
        <v>0</v>
      </c>
      <c r="F22" s="4"/>
      <c r="G22" s="6"/>
      <c r="H22" s="4"/>
    </row>
    <row r="23" spans="2:8" ht="10.5">
      <c r="B23" s="4" t="s">
        <v>130</v>
      </c>
      <c r="D23" s="6" t="s">
        <v>1</v>
      </c>
      <c r="E23" s="157" t="s">
        <v>199</v>
      </c>
      <c r="F23" s="4"/>
      <c r="G23" s="6" t="s">
        <v>2</v>
      </c>
      <c r="H23" s="159">
        <v>4</v>
      </c>
    </row>
    <row r="24" spans="2:8" ht="10.5">
      <c r="B24" s="6"/>
      <c r="D24" s="6" t="s">
        <v>1</v>
      </c>
      <c r="E24" s="157"/>
      <c r="F24" s="4"/>
      <c r="G24" s="6" t="s">
        <v>2</v>
      </c>
      <c r="H24" s="159"/>
    </row>
    <row r="25" spans="2:9" ht="10.5">
      <c r="B25" s="11"/>
      <c r="C25" s="9"/>
      <c r="D25" s="9" t="s">
        <v>1</v>
      </c>
      <c r="E25" s="161"/>
      <c r="F25" s="11"/>
      <c r="G25" s="9" t="s">
        <v>2</v>
      </c>
      <c r="H25" s="162"/>
      <c r="I25" s="1" t="str">
        <f>IF(E13=E22+H23+H24+H25," ","ha's kloppen niet")</f>
        <v> </v>
      </c>
    </row>
    <row r="26" spans="2:9" ht="10.5">
      <c r="B26" s="11"/>
      <c r="C26" s="9"/>
      <c r="D26" s="9" t="s">
        <v>1</v>
      </c>
      <c r="E26" s="161"/>
      <c r="F26" s="11"/>
      <c r="G26" s="9" t="s">
        <v>2</v>
      </c>
      <c r="H26" s="162"/>
      <c r="I26" s="1"/>
    </row>
    <row r="27" spans="2:8" ht="10.5">
      <c r="B27" s="11"/>
      <c r="C27" s="9"/>
      <c r="D27" s="9"/>
      <c r="E27" s="34"/>
      <c r="F27" s="11"/>
      <c r="G27" s="9"/>
      <c r="H27" s="34"/>
    </row>
    <row r="28" spans="2:8" ht="10.5">
      <c r="B28" s="11"/>
      <c r="C28" s="9"/>
      <c r="D28" s="9" t="s">
        <v>80</v>
      </c>
      <c r="E28" s="161"/>
      <c r="F28" s="42" t="s">
        <v>8</v>
      </c>
      <c r="G28" s="9"/>
      <c r="H28" s="11"/>
    </row>
    <row r="29" spans="2:8" ht="10.5">
      <c r="B29" s="7" t="s">
        <v>71</v>
      </c>
      <c r="C29" s="8"/>
      <c r="D29" s="158"/>
      <c r="E29" s="158"/>
      <c r="F29" s="158"/>
      <c r="G29" s="8"/>
      <c r="H29" s="7"/>
    </row>
    <row r="30" spans="5:8" ht="6.75" customHeight="1">
      <c r="E30" s="6"/>
      <c r="F30" s="6"/>
      <c r="G30" s="6"/>
      <c r="H30" s="4"/>
    </row>
    <row r="31" spans="5:8" ht="10.5">
      <c r="E31" s="6"/>
      <c r="F31" s="6"/>
      <c r="G31" s="6"/>
      <c r="H31" s="4"/>
    </row>
    <row r="32" spans="2:8" ht="10.5" customHeight="1">
      <c r="B32" s="85" t="s">
        <v>142</v>
      </c>
      <c r="C32" s="9"/>
      <c r="D32" s="84" t="s">
        <v>141</v>
      </c>
      <c r="E32" s="85"/>
      <c r="F32" s="6"/>
      <c r="G32" s="89"/>
      <c r="H32" s="2" t="s">
        <v>97</v>
      </c>
    </row>
    <row r="33" spans="2:8" ht="10.5" customHeight="1">
      <c r="B33" s="4" t="s">
        <v>121</v>
      </c>
      <c r="C33" s="4"/>
      <c r="D33" s="163">
        <v>260</v>
      </c>
      <c r="E33" s="90" t="s">
        <v>124</v>
      </c>
      <c r="F33" s="4"/>
      <c r="G33" s="4"/>
      <c r="H33" s="157">
        <v>1900</v>
      </c>
    </row>
    <row r="34" spans="2:8" ht="10.5" customHeight="1">
      <c r="B34" s="4" t="s">
        <v>131</v>
      </c>
      <c r="C34" s="4"/>
      <c r="D34" s="163">
        <v>228</v>
      </c>
      <c r="E34" s="90" t="s">
        <v>125</v>
      </c>
      <c r="F34" s="4"/>
      <c r="G34" s="4"/>
      <c r="H34" s="157">
        <v>1820</v>
      </c>
    </row>
    <row r="35" spans="2:8" ht="10.5" customHeight="1">
      <c r="B35" s="4" t="s">
        <v>129</v>
      </c>
      <c r="D35" s="14">
        <f>D34/D33*100</f>
        <v>87.6923076923077</v>
      </c>
      <c r="E35" s="90" t="s">
        <v>167</v>
      </c>
      <c r="F35" s="4"/>
      <c r="G35" s="4"/>
      <c r="H35" s="198">
        <f>H34/H33</f>
        <v>0.9578947368421052</v>
      </c>
    </row>
    <row r="36" spans="2:8" ht="10.5" customHeight="1">
      <c r="B36" s="4" t="s">
        <v>132</v>
      </c>
      <c r="C36" s="4"/>
      <c r="D36" s="163">
        <v>18</v>
      </c>
      <c r="E36" s="90" t="s">
        <v>166</v>
      </c>
      <c r="F36" s="4"/>
      <c r="G36" s="4"/>
      <c r="H36" s="157">
        <v>762</v>
      </c>
    </row>
    <row r="37" spans="2:8" ht="10.5" customHeight="1">
      <c r="B37" s="4" t="s">
        <v>122</v>
      </c>
      <c r="C37" s="4"/>
      <c r="D37" s="163">
        <v>2.1</v>
      </c>
      <c r="E37" s="90" t="s">
        <v>168</v>
      </c>
      <c r="F37" s="4"/>
      <c r="G37" s="4"/>
      <c r="H37" s="157">
        <v>2.06</v>
      </c>
    </row>
    <row r="38" spans="2:8" ht="10.5" customHeight="1">
      <c r="B38" s="4" t="s">
        <v>143</v>
      </c>
      <c r="C38" s="4"/>
      <c r="D38" s="159">
        <v>2.32</v>
      </c>
      <c r="E38" s="90" t="s">
        <v>170</v>
      </c>
      <c r="F38" s="4"/>
      <c r="G38" s="4"/>
      <c r="H38" s="163">
        <v>2.28</v>
      </c>
    </row>
    <row r="39" spans="2:8" ht="10.5" customHeight="1">
      <c r="B39" s="4" t="s">
        <v>144</v>
      </c>
      <c r="C39" s="4"/>
      <c r="D39" s="159">
        <v>23.2</v>
      </c>
      <c r="E39" s="91" t="s">
        <v>169</v>
      </c>
      <c r="F39" s="4"/>
      <c r="G39" s="4"/>
      <c r="H39" s="159">
        <v>2.71</v>
      </c>
    </row>
    <row r="40" spans="3:8" ht="10.5" customHeight="1">
      <c r="C40" s="4"/>
      <c r="D40" s="4"/>
      <c r="E40" s="90" t="s">
        <v>171</v>
      </c>
      <c r="F40" s="4"/>
      <c r="G40" s="4"/>
      <c r="H40" s="159">
        <v>2.99</v>
      </c>
    </row>
    <row r="41" spans="2:8" ht="10.5" customHeight="1">
      <c r="B41" s="4" t="s">
        <v>134</v>
      </c>
      <c r="C41" s="4"/>
      <c r="D41" s="157">
        <v>45</v>
      </c>
      <c r="E41" s="91"/>
      <c r="F41" s="4"/>
      <c r="G41" s="4"/>
      <c r="H41" s="4"/>
    </row>
    <row r="42" spans="2:8" ht="10.5" customHeight="1">
      <c r="B42" s="4" t="s">
        <v>133</v>
      </c>
      <c r="C42" s="4"/>
      <c r="D42" s="157">
        <v>6</v>
      </c>
      <c r="E42" s="90" t="s">
        <v>172</v>
      </c>
      <c r="F42" s="4"/>
      <c r="G42" s="4"/>
      <c r="H42" s="157">
        <v>757</v>
      </c>
    </row>
    <row r="43" spans="2:8" ht="10.5" customHeight="1">
      <c r="B43" s="4" t="s">
        <v>145</v>
      </c>
      <c r="C43" s="4"/>
      <c r="D43" s="157">
        <v>199</v>
      </c>
      <c r="E43" s="90" t="s">
        <v>173</v>
      </c>
      <c r="F43" s="4"/>
      <c r="G43" s="4"/>
      <c r="H43" s="157">
        <v>2.87</v>
      </c>
    </row>
    <row r="44" spans="2:8" ht="10.5" customHeight="1">
      <c r="B44" s="4" t="s">
        <v>146</v>
      </c>
      <c r="C44" s="4"/>
      <c r="D44" s="157">
        <v>250</v>
      </c>
      <c r="E44" s="90" t="s">
        <v>174</v>
      </c>
      <c r="F44" s="4"/>
      <c r="G44" s="4"/>
      <c r="H44" s="163">
        <v>93</v>
      </c>
    </row>
    <row r="45" spans="2:8" ht="10.5" customHeight="1">
      <c r="B45" s="4" t="s">
        <v>147</v>
      </c>
      <c r="C45" s="4"/>
      <c r="D45" s="157">
        <v>271</v>
      </c>
      <c r="E45" s="90" t="s">
        <v>175</v>
      </c>
      <c r="F45" s="4"/>
      <c r="G45" s="4"/>
      <c r="H45" s="163">
        <v>118</v>
      </c>
    </row>
    <row r="46" spans="2:8" ht="10.5" customHeight="1">
      <c r="B46" s="4" t="s">
        <v>135</v>
      </c>
      <c r="C46" s="4"/>
      <c r="D46" s="157">
        <v>44</v>
      </c>
      <c r="E46" s="91" t="s">
        <v>126</v>
      </c>
      <c r="F46" s="4"/>
      <c r="G46" s="4"/>
      <c r="H46" s="163">
        <v>27.3</v>
      </c>
    </row>
    <row r="47" spans="2:8" ht="10.5" customHeight="1">
      <c r="B47" s="4" t="s">
        <v>136</v>
      </c>
      <c r="C47" s="4"/>
      <c r="D47" s="157">
        <v>42</v>
      </c>
      <c r="E47" s="90" t="s">
        <v>176</v>
      </c>
      <c r="F47" s="4"/>
      <c r="G47" s="4"/>
      <c r="H47" s="164">
        <v>55.8</v>
      </c>
    </row>
    <row r="48" spans="2:8" ht="10.5" customHeight="1">
      <c r="B48" s="4" t="s">
        <v>137</v>
      </c>
      <c r="C48" s="4"/>
      <c r="D48" s="157">
        <v>37.2</v>
      </c>
      <c r="E48" s="90" t="s">
        <v>177</v>
      </c>
      <c r="F48" s="4"/>
      <c r="G48" s="4"/>
      <c r="H48" s="157">
        <v>11.7</v>
      </c>
    </row>
    <row r="49" spans="3:8" ht="10.5" customHeight="1">
      <c r="C49" s="4"/>
      <c r="D49" s="4"/>
      <c r="E49" s="90" t="s">
        <v>177</v>
      </c>
      <c r="F49" s="4"/>
      <c r="G49" s="4"/>
      <c r="H49" s="157">
        <v>74.8</v>
      </c>
    </row>
    <row r="50" spans="2:8" ht="10.5" customHeight="1">
      <c r="B50" s="4" t="s">
        <v>148</v>
      </c>
      <c r="C50" s="4"/>
      <c r="D50" s="157">
        <v>10</v>
      </c>
      <c r="E50" s="90" t="s">
        <v>128</v>
      </c>
      <c r="F50" s="4"/>
      <c r="G50" s="4"/>
      <c r="H50" s="163">
        <v>2.9</v>
      </c>
    </row>
    <row r="51" spans="2:8" ht="10.5" customHeight="1">
      <c r="B51" s="4" t="s">
        <v>149</v>
      </c>
      <c r="C51" s="4"/>
      <c r="D51" s="157">
        <v>4</v>
      </c>
      <c r="E51" s="90"/>
      <c r="F51" s="4"/>
      <c r="G51" s="4"/>
      <c r="H51" s="4"/>
    </row>
    <row r="52" spans="2:19" ht="10.5" customHeight="1">
      <c r="B52" s="4" t="s">
        <v>150</v>
      </c>
      <c r="C52" s="4"/>
      <c r="D52" s="157">
        <v>63</v>
      </c>
      <c r="E52" s="90" t="s">
        <v>178</v>
      </c>
      <c r="F52" s="4"/>
      <c r="G52" s="4"/>
      <c r="H52" s="157"/>
      <c r="R52" s="6" t="s">
        <v>81</v>
      </c>
      <c r="S52" s="14" t="e">
        <f>(E54+H48)/D32</f>
        <v>#VALUE!</v>
      </c>
    </row>
    <row r="53" spans="2:8" ht="10.5" customHeight="1">
      <c r="B53" s="4" t="s">
        <v>151</v>
      </c>
      <c r="C53" s="4"/>
      <c r="D53" s="165">
        <v>89</v>
      </c>
      <c r="E53" s="90" t="s">
        <v>179</v>
      </c>
      <c r="F53" s="4"/>
      <c r="G53" s="4"/>
      <c r="H53" s="157"/>
    </row>
    <row r="54" spans="2:8" ht="10.5" customHeight="1">
      <c r="B54" s="4" t="s">
        <v>152</v>
      </c>
      <c r="C54" s="4"/>
      <c r="D54" s="157">
        <v>83</v>
      </c>
      <c r="E54" s="91" t="s">
        <v>186</v>
      </c>
      <c r="F54" s="6"/>
      <c r="G54" s="6"/>
      <c r="H54" s="160"/>
    </row>
    <row r="55" spans="2:8" ht="10.5" customHeight="1">
      <c r="B55" s="4" t="s">
        <v>153</v>
      </c>
      <c r="C55" s="4"/>
      <c r="D55" s="157">
        <v>85</v>
      </c>
      <c r="E55" s="90" t="s">
        <v>127</v>
      </c>
      <c r="F55" s="4"/>
      <c r="G55" s="4"/>
      <c r="H55" s="164">
        <f>(H45-H46)/H42*1000</f>
        <v>119.81505944517833</v>
      </c>
    </row>
    <row r="56" spans="3:8" ht="10.5" customHeight="1">
      <c r="C56" s="4"/>
      <c r="D56" s="4"/>
      <c r="E56" s="90"/>
      <c r="F56" s="4"/>
      <c r="G56"/>
      <c r="H56" s="4"/>
    </row>
    <row r="57" spans="2:8" ht="10.5" customHeight="1">
      <c r="B57" s="4" t="s">
        <v>154</v>
      </c>
      <c r="C57" s="4"/>
      <c r="D57" s="163">
        <v>6.3</v>
      </c>
      <c r="E57" s="90" t="s">
        <v>201</v>
      </c>
      <c r="F57" s="90"/>
      <c r="G57" s="6"/>
      <c r="H57" s="156" t="s">
        <v>349</v>
      </c>
    </row>
    <row r="58" spans="2:8" ht="10.5" customHeight="1">
      <c r="B58" s="4" t="s">
        <v>155</v>
      </c>
      <c r="C58" s="4"/>
      <c r="D58" s="157">
        <v>4</v>
      </c>
      <c r="E58" s="90" t="s">
        <v>202</v>
      </c>
      <c r="F58" s="90"/>
      <c r="G58" s="6"/>
      <c r="H58" s="156" t="s">
        <v>349</v>
      </c>
    </row>
    <row r="59" spans="2:8" ht="10.5" customHeight="1">
      <c r="B59" s="4" t="s">
        <v>156</v>
      </c>
      <c r="C59" s="4"/>
      <c r="D59" s="157">
        <v>26.4</v>
      </c>
      <c r="E59" s="90" t="s">
        <v>203</v>
      </c>
      <c r="F59" s="90"/>
      <c r="G59" s="4"/>
      <c r="H59" s="156" t="s">
        <v>349</v>
      </c>
    </row>
    <row r="60" spans="2:8" ht="10.5" customHeight="1">
      <c r="B60" s="4" t="s">
        <v>157</v>
      </c>
      <c r="C60" s="4"/>
      <c r="D60" s="157">
        <v>154.5</v>
      </c>
      <c r="E60" s="90"/>
      <c r="F60" s="90"/>
      <c r="G60" s="4"/>
      <c r="H60" s="4"/>
    </row>
    <row r="61" spans="2:8" ht="10.5" customHeight="1">
      <c r="B61" s="4" t="s">
        <v>158</v>
      </c>
      <c r="C61" s="4"/>
      <c r="D61" s="157">
        <v>2.36</v>
      </c>
      <c r="E61" s="90"/>
      <c r="F61" s="90"/>
      <c r="G61" s="4"/>
      <c r="H61" s="4"/>
    </row>
    <row r="62" spans="3:7" ht="10.5" customHeight="1">
      <c r="C62" s="4"/>
      <c r="D62" s="4"/>
      <c r="E62" s="90"/>
      <c r="F62" s="90"/>
      <c r="G62" s="4"/>
    </row>
    <row r="63" spans="2:8" ht="10.5" customHeight="1">
      <c r="B63" s="4" t="s">
        <v>138</v>
      </c>
      <c r="C63" s="4"/>
      <c r="D63" s="157">
        <v>4.1</v>
      </c>
      <c r="E63" s="90"/>
      <c r="F63" s="90"/>
      <c r="G63" s="4"/>
      <c r="H63" s="4"/>
    </row>
    <row r="64" spans="2:8" ht="10.5" customHeight="1">
      <c r="B64" s="4" t="s">
        <v>139</v>
      </c>
      <c r="C64" s="4"/>
      <c r="D64" s="157">
        <v>18</v>
      </c>
      <c r="E64" s="90"/>
      <c r="F64" s="90"/>
      <c r="G64" s="4"/>
      <c r="H64" s="4"/>
    </row>
    <row r="65" spans="2:8" ht="10.5" customHeight="1">
      <c r="B65" s="4" t="s">
        <v>159</v>
      </c>
      <c r="C65" s="4"/>
      <c r="D65" s="159">
        <v>11.3</v>
      </c>
      <c r="E65" s="90"/>
      <c r="F65" s="90"/>
      <c r="G65" s="4"/>
      <c r="H65" s="4"/>
    </row>
    <row r="66" spans="2:8" ht="10.5" customHeight="1">
      <c r="B66" s="4" t="s">
        <v>160</v>
      </c>
      <c r="C66" s="4"/>
      <c r="D66" s="157">
        <v>0.9</v>
      </c>
      <c r="E66" s="90"/>
      <c r="F66" s="90"/>
      <c r="G66" s="4"/>
      <c r="H66" s="4"/>
    </row>
    <row r="67" spans="2:8" ht="10.5" customHeight="1">
      <c r="B67" s="4" t="s">
        <v>161</v>
      </c>
      <c r="C67" s="4"/>
      <c r="D67" s="157">
        <v>11.2</v>
      </c>
      <c r="E67" s="90"/>
      <c r="F67" s="90"/>
      <c r="G67" s="4"/>
      <c r="H67" s="4"/>
    </row>
    <row r="68" spans="2:8" ht="10.5" customHeight="1">
      <c r="B68" s="4" t="s">
        <v>162</v>
      </c>
      <c r="C68" s="4"/>
      <c r="D68" s="159">
        <v>10</v>
      </c>
      <c r="E68" s="90"/>
      <c r="F68" s="90"/>
      <c r="G68" s="4"/>
      <c r="H68" s="4"/>
    </row>
    <row r="69" spans="3:8" ht="10.5" customHeight="1">
      <c r="C69" s="4"/>
      <c r="D69" s="4"/>
      <c r="E69" s="90"/>
      <c r="F69" s="90"/>
      <c r="G69" s="4"/>
      <c r="H69" s="4"/>
    </row>
    <row r="70" spans="2:8" ht="10.5" customHeight="1">
      <c r="B70" s="4" t="s">
        <v>140</v>
      </c>
      <c r="C70" s="4"/>
      <c r="D70" s="163">
        <v>2.7</v>
      </c>
      <c r="E70" s="90"/>
      <c r="F70" s="90"/>
      <c r="G70" s="4"/>
      <c r="H70" s="4"/>
    </row>
    <row r="71" spans="2:8" ht="10.5" customHeight="1">
      <c r="B71" s="4" t="s">
        <v>123</v>
      </c>
      <c r="C71" s="4"/>
      <c r="D71" s="159">
        <v>28.5</v>
      </c>
      <c r="E71" s="90"/>
      <c r="F71" s="90"/>
      <c r="G71" s="4"/>
      <c r="H71" s="4"/>
    </row>
    <row r="72" spans="3:8" ht="10.5" customHeight="1">
      <c r="C72" s="4"/>
      <c r="D72" s="4"/>
      <c r="E72" s="90"/>
      <c r="F72" s="90"/>
      <c r="G72" s="6"/>
      <c r="H72" s="4"/>
    </row>
    <row r="73" spans="2:8" ht="10.5" customHeight="1">
      <c r="B73" s="4" t="s">
        <v>163</v>
      </c>
      <c r="C73" s="4"/>
      <c r="D73" s="163">
        <v>25</v>
      </c>
      <c r="E73" s="90"/>
      <c r="F73" s="90"/>
      <c r="G73" s="6"/>
      <c r="H73" s="4"/>
    </row>
    <row r="74" spans="2:8" ht="10.5" customHeight="1">
      <c r="B74" s="4" t="s">
        <v>164</v>
      </c>
      <c r="C74" s="4"/>
      <c r="D74" s="157">
        <v>78</v>
      </c>
      <c r="E74" s="90"/>
      <c r="F74" s="90"/>
      <c r="G74" s="6"/>
      <c r="H74" s="4"/>
    </row>
    <row r="75" spans="2:8" ht="10.5" customHeight="1">
      <c r="B75" s="4" t="s">
        <v>165</v>
      </c>
      <c r="C75" s="4"/>
      <c r="D75" s="157">
        <v>333</v>
      </c>
      <c r="E75" s="90"/>
      <c r="F75" s="90"/>
      <c r="G75" s="6"/>
      <c r="H75" s="4"/>
    </row>
    <row r="76" spans="2:8" ht="10.5" customHeight="1">
      <c r="B76" s="6"/>
      <c r="C76" s="99"/>
      <c r="D76" s="99"/>
      <c r="E76" s="99"/>
      <c r="F76" s="99"/>
      <c r="G76" s="99"/>
      <c r="H76" s="99"/>
    </row>
    <row r="77" spans="2:8" ht="10.5" customHeight="1">
      <c r="B77" s="6"/>
      <c r="D77" s="150" t="s">
        <v>13</v>
      </c>
      <c r="E77" s="201" t="s">
        <v>346</v>
      </c>
      <c r="F77" s="99"/>
      <c r="G77" s="99" t="s">
        <v>215</v>
      </c>
      <c r="H77" s="99"/>
    </row>
    <row r="78" spans="2:8" ht="10.5" customHeight="1">
      <c r="B78" s="107" t="s">
        <v>185</v>
      </c>
      <c r="D78" s="99"/>
      <c r="E78" s="202">
        <v>41</v>
      </c>
      <c r="F78" s="99"/>
      <c r="G78" s="99"/>
      <c r="H78" s="99"/>
    </row>
    <row r="79" spans="2:8" ht="10.5" customHeight="1">
      <c r="B79" s="107" t="s">
        <v>205</v>
      </c>
      <c r="D79" s="99"/>
      <c r="E79" s="202">
        <v>135</v>
      </c>
      <c r="F79" s="99"/>
      <c r="G79" s="99"/>
      <c r="H79" s="99"/>
    </row>
    <row r="80" spans="2:8" ht="10.5" customHeight="1">
      <c r="B80" s="107" t="s">
        <v>206</v>
      </c>
      <c r="D80" s="99"/>
      <c r="E80" s="202">
        <v>145</v>
      </c>
      <c r="F80" s="99"/>
      <c r="G80" s="99"/>
      <c r="H80" s="99"/>
    </row>
    <row r="81" spans="2:8" ht="10.5" customHeight="1">
      <c r="B81" s="107" t="s">
        <v>207</v>
      </c>
      <c r="D81" s="203">
        <v>2</v>
      </c>
      <c r="E81" s="141">
        <v>150</v>
      </c>
      <c r="F81" s="99"/>
      <c r="G81" s="99"/>
      <c r="H81" s="99"/>
    </row>
    <row r="82" spans="2:8" ht="10.5" customHeight="1">
      <c r="B82" s="115" t="s">
        <v>340</v>
      </c>
      <c r="D82" s="99"/>
      <c r="E82" s="202">
        <v>1.5</v>
      </c>
      <c r="F82" s="99"/>
      <c r="G82" s="99"/>
      <c r="H82" s="99"/>
    </row>
    <row r="83" spans="2:8" ht="10.5" customHeight="1">
      <c r="B83" s="115" t="s">
        <v>183</v>
      </c>
      <c r="D83" s="99"/>
      <c r="E83" s="141">
        <v>0</v>
      </c>
      <c r="F83" s="99"/>
      <c r="G83" s="274">
        <v>0</v>
      </c>
      <c r="H83" s="99"/>
    </row>
    <row r="84" spans="2:8" ht="10.5" customHeight="1">
      <c r="B84" s="94" t="s">
        <v>200</v>
      </c>
      <c r="D84" s="99"/>
      <c r="E84" s="202">
        <v>225</v>
      </c>
      <c r="F84" s="99"/>
      <c r="G84" s="99"/>
      <c r="H84" s="99"/>
    </row>
    <row r="85" spans="2:8" ht="10.5" customHeight="1">
      <c r="B85" s="94" t="s">
        <v>204</v>
      </c>
      <c r="D85" s="200">
        <f>D81</f>
        <v>2</v>
      </c>
      <c r="E85" s="202">
        <v>405</v>
      </c>
      <c r="F85" s="99"/>
      <c r="G85" s="99"/>
      <c r="H85" s="99"/>
    </row>
    <row r="86" spans="2:8" ht="10.5" customHeight="1">
      <c r="B86" s="94" t="s">
        <v>208</v>
      </c>
      <c r="D86" s="99"/>
      <c r="E86" s="202">
        <v>41</v>
      </c>
      <c r="F86" s="99"/>
      <c r="G86" s="99"/>
      <c r="H86" s="99"/>
    </row>
    <row r="87" spans="2:8" ht="10.5" customHeight="1">
      <c r="B87" s="94" t="s">
        <v>213</v>
      </c>
      <c r="D87" s="99"/>
      <c r="E87" s="203">
        <v>30</v>
      </c>
      <c r="F87" s="99"/>
      <c r="G87" s="99"/>
      <c r="H87" s="99"/>
    </row>
    <row r="88" spans="2:8" ht="10.5" customHeight="1">
      <c r="B88" s="94" t="s">
        <v>209</v>
      </c>
      <c r="D88" s="99"/>
      <c r="E88" s="202">
        <v>32</v>
      </c>
      <c r="F88" s="99"/>
      <c r="G88" s="99"/>
      <c r="H88" s="99"/>
    </row>
    <row r="89" spans="2:8" ht="10.5" customHeight="1">
      <c r="B89" s="94" t="s">
        <v>210</v>
      </c>
      <c r="D89" s="99"/>
      <c r="E89" s="141">
        <v>1160</v>
      </c>
      <c r="F89" s="99"/>
      <c r="G89" s="99"/>
      <c r="H89" s="99"/>
    </row>
    <row r="90" spans="2:8" ht="10.5" customHeight="1">
      <c r="B90" s="94" t="s">
        <v>211</v>
      </c>
      <c r="D90" s="99"/>
      <c r="E90" s="202">
        <v>25</v>
      </c>
      <c r="F90" s="99"/>
      <c r="G90" s="99"/>
      <c r="H90" s="99"/>
    </row>
    <row r="91" spans="2:8" ht="10.5" customHeight="1">
      <c r="B91" s="94" t="s">
        <v>212</v>
      </c>
      <c r="D91" s="99"/>
      <c r="E91" s="202">
        <v>22</v>
      </c>
      <c r="F91" s="99"/>
      <c r="G91" s="99"/>
      <c r="H91" s="99"/>
    </row>
    <row r="92" spans="4:8" ht="10.5" customHeight="1">
      <c r="D92" s="99"/>
      <c r="E92" s="99"/>
      <c r="F92" s="99"/>
      <c r="G92" s="99"/>
      <c r="H92" s="99"/>
    </row>
    <row r="93" spans="2:8" ht="10.5" customHeight="1">
      <c r="B93" s="94"/>
      <c r="D93" s="99"/>
      <c r="E93" s="99" t="s">
        <v>214</v>
      </c>
      <c r="F93" s="99"/>
      <c r="G93" s="99" t="s">
        <v>215</v>
      </c>
      <c r="H93" s="99"/>
    </row>
    <row r="94" spans="2:8" ht="10.5" customHeight="1">
      <c r="B94" s="99" t="s">
        <v>108</v>
      </c>
      <c r="D94" s="99"/>
      <c r="E94" s="204">
        <v>29</v>
      </c>
      <c r="F94" s="99"/>
      <c r="G94" s="204">
        <v>1</v>
      </c>
      <c r="H94" s="99"/>
    </row>
    <row r="95" spans="2:8" ht="10.5" customHeight="1">
      <c r="B95" s="99" t="s">
        <v>110</v>
      </c>
      <c r="D95" s="99"/>
      <c r="E95" s="206">
        <v>38</v>
      </c>
      <c r="F95" s="99"/>
      <c r="G95" s="204">
        <v>2.2</v>
      </c>
      <c r="H95" s="99"/>
    </row>
    <row r="96" spans="2:8" ht="10.5" customHeight="1">
      <c r="B96" s="99" t="s">
        <v>111</v>
      </c>
      <c r="D96" s="99"/>
      <c r="E96" s="206">
        <v>23</v>
      </c>
      <c r="F96" s="99"/>
      <c r="G96" s="148"/>
      <c r="H96" s="99"/>
    </row>
    <row r="97" spans="2:8" ht="10.5" customHeight="1">
      <c r="B97" s="99" t="s">
        <v>219</v>
      </c>
      <c r="D97" s="99"/>
      <c r="E97" s="205">
        <v>5</v>
      </c>
      <c r="F97" s="99"/>
      <c r="G97" s="148"/>
      <c r="H97" s="99"/>
    </row>
    <row r="98" spans="2:8" ht="10.5" customHeight="1">
      <c r="B98" s="99" t="s">
        <v>217</v>
      </c>
      <c r="E98" s="206">
        <v>360</v>
      </c>
      <c r="F98" s="99"/>
      <c r="G98" s="204">
        <v>71</v>
      </c>
      <c r="H98" s="99"/>
    </row>
    <row r="99" spans="2:8" ht="10.5" customHeight="1">
      <c r="B99" s="99" t="s">
        <v>112</v>
      </c>
      <c r="E99" s="206">
        <v>0</v>
      </c>
      <c r="F99" s="99"/>
      <c r="G99" s="204">
        <v>0</v>
      </c>
      <c r="H99" s="99"/>
    </row>
    <row r="100" spans="2:8" ht="10.5" customHeight="1">
      <c r="B100" s="99" t="s">
        <v>113</v>
      </c>
      <c r="E100" s="206">
        <v>25</v>
      </c>
      <c r="F100" s="99"/>
      <c r="G100" s="204">
        <v>4.5</v>
      </c>
      <c r="H100" s="99"/>
    </row>
    <row r="101" spans="2:8" ht="10.5" customHeight="1">
      <c r="B101" s="99" t="s">
        <v>114</v>
      </c>
      <c r="D101" s="144" t="s">
        <v>216</v>
      </c>
      <c r="E101" s="206">
        <v>43</v>
      </c>
      <c r="F101" s="99"/>
      <c r="G101" s="204">
        <v>2.3</v>
      </c>
      <c r="H101" s="99"/>
    </row>
    <row r="102" spans="3:8" ht="10.5" customHeight="1">
      <c r="C102" s="94"/>
      <c r="D102" s="144" t="s">
        <v>218</v>
      </c>
      <c r="E102" s="4"/>
      <c r="F102" s="4"/>
      <c r="G102" s="4"/>
      <c r="H102" s="4"/>
    </row>
    <row r="103" spans="2:8" ht="10.5" customHeight="1">
      <c r="B103" s="12"/>
      <c r="C103" s="166"/>
      <c r="D103" s="207"/>
      <c r="E103" s="12"/>
      <c r="F103" s="12"/>
      <c r="G103" s="12"/>
      <c r="H103" s="12"/>
    </row>
    <row r="104" spans="2:8" ht="10.5" customHeight="1">
      <c r="B104" s="4" t="s">
        <v>277</v>
      </c>
      <c r="C104" s="18"/>
      <c r="D104" s="18"/>
      <c r="E104" s="18"/>
      <c r="F104" s="18"/>
      <c r="G104" s="18"/>
      <c r="H104" s="18"/>
    </row>
    <row r="105" spans="2:8" ht="10.5" customHeight="1">
      <c r="B105" s="4" t="s">
        <v>278</v>
      </c>
      <c r="C105" s="18"/>
      <c r="E105" s="221">
        <v>0</v>
      </c>
      <c r="F105" s="40"/>
      <c r="G105" s="18"/>
      <c r="H105" s="40"/>
    </row>
    <row r="106" spans="2:8" ht="10.5" customHeight="1">
      <c r="B106" s="4" t="s">
        <v>279</v>
      </c>
      <c r="C106" s="18"/>
      <c r="E106" s="221">
        <v>0</v>
      </c>
      <c r="F106" s="40"/>
      <c r="G106" s="18"/>
      <c r="H106" s="40"/>
    </row>
    <row r="107" spans="2:8" ht="10.5" customHeight="1">
      <c r="B107" s="4" t="s">
        <v>280</v>
      </c>
      <c r="C107" s="18"/>
      <c r="E107" s="221">
        <v>50</v>
      </c>
      <c r="F107" s="191"/>
      <c r="G107" s="18"/>
      <c r="H107" s="191"/>
    </row>
    <row r="108" spans="2:8" ht="10.5" customHeight="1">
      <c r="B108" s="4" t="s">
        <v>281</v>
      </c>
      <c r="C108" s="18"/>
      <c r="E108" s="221">
        <v>20000</v>
      </c>
      <c r="F108" s="40"/>
      <c r="G108" s="18"/>
      <c r="H108" s="191"/>
    </row>
    <row r="109" spans="2:8" ht="10.5" customHeight="1">
      <c r="B109" s="4" t="s">
        <v>282</v>
      </c>
      <c r="C109" s="25"/>
      <c r="E109" s="221">
        <v>0</v>
      </c>
      <c r="F109" s="28"/>
      <c r="G109" s="18"/>
      <c r="H109" s="191"/>
    </row>
    <row r="110" spans="3:8" ht="10.5" customHeight="1">
      <c r="C110" s="18"/>
      <c r="D110" s="26"/>
      <c r="E110" s="98"/>
      <c r="F110" s="18"/>
      <c r="G110" s="18"/>
      <c r="H110" s="18"/>
    </row>
    <row r="111" spans="2:8" ht="10.5" customHeight="1">
      <c r="B111" s="4" t="s">
        <v>58</v>
      </c>
      <c r="C111" s="26" t="s">
        <v>88</v>
      </c>
      <c r="D111" s="221">
        <v>0</v>
      </c>
      <c r="E111" s="221">
        <v>0</v>
      </c>
      <c r="F111" s="18" t="s">
        <v>283</v>
      </c>
      <c r="G111" s="18"/>
      <c r="H111" s="18"/>
    </row>
    <row r="112" spans="3:8" ht="10.5" customHeight="1">
      <c r="C112" s="26" t="s">
        <v>284</v>
      </c>
      <c r="D112" s="221">
        <v>0</v>
      </c>
      <c r="E112" s="221">
        <v>0.4</v>
      </c>
      <c r="F112" s="18" t="s">
        <v>285</v>
      </c>
      <c r="G112" s="18"/>
      <c r="H112" s="18"/>
    </row>
    <row r="113" spans="2:8" ht="10.5" customHeight="1">
      <c r="B113" s="4" t="s">
        <v>286</v>
      </c>
      <c r="C113" s="190"/>
      <c r="D113" s="221">
        <v>9650</v>
      </c>
      <c r="E113" s="18"/>
      <c r="F113" s="18"/>
      <c r="G113" s="28"/>
      <c r="H113" s="40"/>
    </row>
    <row r="114" spans="3:8" ht="10.5" customHeight="1">
      <c r="C114" s="25" t="s">
        <v>287</v>
      </c>
      <c r="D114" s="222" t="s">
        <v>288</v>
      </c>
      <c r="E114" s="25" t="s">
        <v>289</v>
      </c>
      <c r="F114" s="25" t="s">
        <v>290</v>
      </c>
      <c r="G114" s="222" t="s">
        <v>291</v>
      </c>
      <c r="H114" s="222" t="s">
        <v>18</v>
      </c>
    </row>
    <row r="115" spans="2:8" ht="10.5" customHeight="1">
      <c r="B115" s="4" t="s">
        <v>292</v>
      </c>
      <c r="C115" s="223">
        <v>0</v>
      </c>
      <c r="D115" s="221">
        <v>0</v>
      </c>
      <c r="E115" s="223">
        <v>0</v>
      </c>
      <c r="F115" s="223">
        <v>0</v>
      </c>
      <c r="G115" s="223">
        <v>0</v>
      </c>
      <c r="H115" s="222"/>
    </row>
    <row r="116" spans="2:8" ht="10.5" customHeight="1">
      <c r="B116" s="218" t="s">
        <v>293</v>
      </c>
      <c r="C116" s="223">
        <v>6.24</v>
      </c>
      <c r="D116" s="221">
        <v>200000</v>
      </c>
      <c r="E116" s="223">
        <f>100/(C116+G116)</f>
        <v>5.800464037122969</v>
      </c>
      <c r="F116" s="223">
        <v>1.2</v>
      </c>
      <c r="G116" s="223">
        <v>11</v>
      </c>
      <c r="H116" s="219"/>
    </row>
    <row r="117" spans="2:8" ht="10.5" customHeight="1">
      <c r="B117" s="224"/>
      <c r="C117" s="223">
        <v>7.24</v>
      </c>
      <c r="D117" s="221">
        <v>100000</v>
      </c>
      <c r="E117" s="223">
        <f aca="true" t="shared" si="0" ref="E117:E122">100/(C117+G117)</f>
        <v>5.800464037122969</v>
      </c>
      <c r="F117" s="223">
        <v>1.2</v>
      </c>
      <c r="G117" s="223">
        <v>10</v>
      </c>
      <c r="H117" s="219"/>
    </row>
    <row r="118" spans="2:8" ht="10.5" customHeight="1">
      <c r="B118" s="224"/>
      <c r="C118" s="223">
        <v>8.24</v>
      </c>
      <c r="D118" s="221">
        <v>10000</v>
      </c>
      <c r="E118" s="223">
        <f t="shared" si="0"/>
        <v>5.800464037122969</v>
      </c>
      <c r="F118" s="223">
        <v>1.2</v>
      </c>
      <c r="G118" s="223">
        <v>9</v>
      </c>
      <c r="H118" s="26"/>
    </row>
    <row r="119" spans="2:8" ht="10.5" customHeight="1">
      <c r="B119" s="224"/>
      <c r="C119" s="223">
        <v>9.24</v>
      </c>
      <c r="D119" s="221">
        <v>150000</v>
      </c>
      <c r="E119" s="223">
        <f t="shared" si="0"/>
        <v>5.800464037122969</v>
      </c>
      <c r="F119" s="223">
        <v>1.2</v>
      </c>
      <c r="G119" s="223">
        <v>8</v>
      </c>
      <c r="H119" s="15"/>
    </row>
    <row r="120" spans="2:8" ht="10.5" customHeight="1">
      <c r="B120" s="225"/>
      <c r="C120" s="226">
        <v>10.24</v>
      </c>
      <c r="D120" s="227">
        <v>180000</v>
      </c>
      <c r="E120" s="223">
        <f t="shared" si="0"/>
        <v>5.800464037122969</v>
      </c>
      <c r="F120" s="226">
        <v>1.2</v>
      </c>
      <c r="G120" s="226">
        <v>7</v>
      </c>
      <c r="H120" s="26"/>
    </row>
    <row r="121" spans="2:8" ht="10.5" customHeight="1">
      <c r="B121" s="218" t="s">
        <v>294</v>
      </c>
      <c r="C121" s="223">
        <v>6.24</v>
      </c>
      <c r="D121" s="221">
        <v>300000</v>
      </c>
      <c r="E121" s="223">
        <f t="shared" si="0"/>
        <v>4.940711462450593</v>
      </c>
      <c r="F121" s="223">
        <v>1.2</v>
      </c>
      <c r="G121" s="223">
        <v>14</v>
      </c>
      <c r="H121" s="26"/>
    </row>
    <row r="122" spans="3:8" ht="10.5" customHeight="1">
      <c r="C122" s="223">
        <v>5.24</v>
      </c>
      <c r="D122" s="221">
        <v>350000</v>
      </c>
      <c r="E122" s="223">
        <f t="shared" si="0"/>
        <v>5.197505197505197</v>
      </c>
      <c r="F122" s="223">
        <v>1.2</v>
      </c>
      <c r="G122" s="223">
        <v>14</v>
      </c>
      <c r="H122" s="26"/>
    </row>
    <row r="123" spans="2:8" ht="10.5" customHeight="1">
      <c r="B123" s="224"/>
      <c r="C123" s="223"/>
      <c r="D123" s="221"/>
      <c r="E123" s="223"/>
      <c r="F123" s="223"/>
      <c r="G123" s="223"/>
      <c r="H123" s="26"/>
    </row>
    <row r="124" spans="2:8" ht="10.5" customHeight="1">
      <c r="B124" s="224"/>
      <c r="C124" s="223"/>
      <c r="D124" s="149"/>
      <c r="E124" s="223"/>
      <c r="F124" s="223"/>
      <c r="G124" s="223"/>
      <c r="H124" s="26"/>
    </row>
    <row r="125" spans="2:8" ht="10.5" customHeight="1">
      <c r="B125" s="224"/>
      <c r="C125" s="223"/>
      <c r="D125" s="221"/>
      <c r="E125" s="223"/>
      <c r="F125" s="223"/>
      <c r="G125" s="223"/>
      <c r="H125" s="26"/>
    </row>
    <row r="126" spans="2:8" ht="10.5" customHeight="1">
      <c r="B126" s="228" t="s">
        <v>295</v>
      </c>
      <c r="C126" s="224"/>
      <c r="D126" s="221">
        <v>80000</v>
      </c>
      <c r="E126" s="223">
        <v>10.18</v>
      </c>
      <c r="F126" s="223">
        <v>1.2</v>
      </c>
      <c r="G126" s="26"/>
      <c r="H126" s="26"/>
    </row>
    <row r="127" spans="2:8" ht="10.5" customHeight="1">
      <c r="B127" s="4" t="s">
        <v>296</v>
      </c>
      <c r="C127" s="18"/>
      <c r="D127" s="229">
        <v>0</v>
      </c>
      <c r="E127" s="26"/>
      <c r="F127" s="26"/>
      <c r="G127" s="18"/>
      <c r="H127" s="26"/>
    </row>
    <row r="128" spans="2:8" ht="10.5" customHeight="1">
      <c r="B128" s="4" t="s">
        <v>86</v>
      </c>
      <c r="C128" s="28"/>
      <c r="D128" s="230"/>
      <c r="E128" s="192"/>
      <c r="F128" s="191"/>
      <c r="G128" s="231">
        <v>0</v>
      </c>
      <c r="H128" s="26"/>
    </row>
    <row r="129" spans="2:8" ht="10.5" customHeight="1">
      <c r="B129" s="4" t="s">
        <v>61</v>
      </c>
      <c r="C129" s="232"/>
      <c r="D129" s="40"/>
      <c r="E129" s="191"/>
      <c r="F129" s="191"/>
      <c r="G129" s="231">
        <v>0</v>
      </c>
      <c r="H129" s="26"/>
    </row>
    <row r="130" spans="2:8" ht="10.5" customHeight="1">
      <c r="B130" s="4" t="s">
        <v>87</v>
      </c>
      <c r="C130" s="67"/>
      <c r="D130" s="233"/>
      <c r="E130" s="191"/>
      <c r="F130" s="191"/>
      <c r="G130" s="231">
        <v>0</v>
      </c>
      <c r="H130" s="26"/>
    </row>
    <row r="131" spans="3:8" ht="10.5" customHeight="1">
      <c r="C131" s="25"/>
      <c r="D131" s="25" t="s">
        <v>297</v>
      </c>
      <c r="E131" s="25" t="s">
        <v>298</v>
      </c>
      <c r="F131" s="15"/>
      <c r="G131" s="15"/>
      <c r="H131" s="15"/>
    </row>
    <row r="132" spans="2:8" ht="10.5" customHeight="1">
      <c r="B132" s="4" t="s">
        <v>46</v>
      </c>
      <c r="C132" s="25"/>
      <c r="D132" s="234">
        <v>0</v>
      </c>
      <c r="E132" s="235">
        <v>0</v>
      </c>
      <c r="F132" s="15"/>
      <c r="G132" s="15"/>
      <c r="H132" s="15"/>
    </row>
    <row r="133" spans="2:8" ht="10.5" customHeight="1">
      <c r="B133" s="4" t="s">
        <v>47</v>
      </c>
      <c r="C133" s="25"/>
      <c r="D133" s="234">
        <v>1</v>
      </c>
      <c r="E133" s="235">
        <v>45000</v>
      </c>
      <c r="F133" s="15"/>
      <c r="G133" s="15"/>
      <c r="H133" s="15"/>
    </row>
    <row r="134" spans="2:8" ht="10.5" customHeight="1">
      <c r="B134" s="4" t="s">
        <v>48</v>
      </c>
      <c r="C134" s="25"/>
      <c r="D134" s="234">
        <v>1</v>
      </c>
      <c r="E134" s="235">
        <v>45000</v>
      </c>
      <c r="F134" s="15"/>
      <c r="G134" s="15"/>
      <c r="H134" s="15"/>
    </row>
    <row r="135" spans="2:8" ht="10.5" customHeight="1">
      <c r="B135" s="4" t="s">
        <v>49</v>
      </c>
      <c r="C135" s="25"/>
      <c r="D135" s="234">
        <v>0</v>
      </c>
      <c r="E135" s="235">
        <v>0</v>
      </c>
      <c r="F135" s="15"/>
      <c r="G135" s="15"/>
      <c r="H135" s="15"/>
    </row>
    <row r="136" spans="2:8" ht="10.5" customHeight="1">
      <c r="B136" s="4" t="s">
        <v>45</v>
      </c>
      <c r="C136" s="25"/>
      <c r="D136" s="234">
        <v>0</v>
      </c>
      <c r="E136" s="235">
        <v>0</v>
      </c>
      <c r="F136" s="15"/>
      <c r="G136" s="15"/>
      <c r="H136" s="15"/>
    </row>
    <row r="137" spans="2:8" ht="10.5" customHeight="1">
      <c r="B137" s="4" t="s">
        <v>44</v>
      </c>
      <c r="C137" s="25"/>
      <c r="D137" s="234">
        <v>0</v>
      </c>
      <c r="E137" s="235">
        <v>0</v>
      </c>
      <c r="F137" s="15"/>
      <c r="G137" s="15"/>
      <c r="H137" s="15"/>
    </row>
    <row r="138" spans="3:8" ht="10.5" customHeight="1">
      <c r="C138" s="15"/>
      <c r="D138" s="15"/>
      <c r="E138" s="15"/>
      <c r="F138" s="15"/>
      <c r="G138" s="15"/>
      <c r="H138" s="15"/>
    </row>
    <row r="139" spans="3:8" ht="10.5" customHeight="1">
      <c r="C139" s="15"/>
      <c r="D139" s="15"/>
      <c r="E139" s="6" t="s">
        <v>299</v>
      </c>
      <c r="F139" s="15"/>
      <c r="G139" s="15"/>
      <c r="H139" s="15"/>
    </row>
    <row r="140" spans="2:8" ht="10.5" customHeight="1">
      <c r="B140" s="4" t="s">
        <v>50</v>
      </c>
      <c r="C140" s="236"/>
      <c r="D140" s="40"/>
      <c r="E140" s="235">
        <v>7000</v>
      </c>
      <c r="F140" s="15"/>
      <c r="G140" s="15"/>
      <c r="H140" s="15"/>
    </row>
    <row r="141" spans="2:8" ht="10.5" customHeight="1">
      <c r="B141" s="12"/>
      <c r="C141" s="13"/>
      <c r="D141" s="13"/>
      <c r="E141" s="12"/>
      <c r="F141" s="12"/>
      <c r="G141" s="13"/>
      <c r="H141" s="12"/>
    </row>
    <row r="142" spans="2:8" ht="10.5" customHeight="1">
      <c r="B142" s="12"/>
      <c r="C142" s="13"/>
      <c r="D142" s="13"/>
      <c r="E142" s="12"/>
      <c r="F142" s="12"/>
      <c r="G142" s="13"/>
      <c r="H142" s="12"/>
    </row>
    <row r="143" spans="2:8" ht="10.5" customHeight="1">
      <c r="B143" s="12"/>
      <c r="C143" s="13"/>
      <c r="D143" s="13"/>
      <c r="E143" s="12"/>
      <c r="F143" s="12"/>
      <c r="G143" s="13"/>
      <c r="H143" s="12"/>
    </row>
    <row r="144" spans="2:8" ht="10.5" customHeight="1">
      <c r="B144" s="12"/>
      <c r="C144" s="13"/>
      <c r="D144" s="13"/>
      <c r="E144" s="12"/>
      <c r="F144" s="12"/>
      <c r="G144" s="13"/>
      <c r="H144" s="12"/>
    </row>
    <row r="145" spans="3:7" s="12" customFormat="1" ht="10.5" customHeight="1">
      <c r="C145" s="13"/>
      <c r="D145" s="13"/>
      <c r="G145" s="13"/>
    </row>
    <row r="146" spans="3:7" s="12" customFormat="1" ht="10.5" customHeight="1">
      <c r="C146" s="13"/>
      <c r="D146" s="13"/>
      <c r="G146" s="13"/>
    </row>
    <row r="147" spans="3:7" s="12" customFormat="1" ht="10.5" customHeight="1">
      <c r="C147" s="13"/>
      <c r="D147" s="13"/>
      <c r="G147" s="13"/>
    </row>
    <row r="148" spans="3:7" s="12" customFormat="1" ht="10.5" customHeight="1">
      <c r="C148" s="13"/>
      <c r="D148" s="13"/>
      <c r="G148" s="13"/>
    </row>
    <row r="149" spans="3:7" s="12" customFormat="1" ht="10.5" customHeight="1">
      <c r="C149" s="13"/>
      <c r="D149" s="13"/>
      <c r="G149" s="13"/>
    </row>
    <row r="150" spans="3:7" s="12" customFormat="1" ht="10.5" customHeight="1">
      <c r="C150" s="13"/>
      <c r="D150" s="13"/>
      <c r="G150" s="13"/>
    </row>
    <row r="151" spans="3:7" s="12" customFormat="1" ht="10.5" customHeight="1">
      <c r="C151" s="13"/>
      <c r="D151" s="13"/>
      <c r="G151" s="13"/>
    </row>
    <row r="152" spans="3:7" s="12" customFormat="1" ht="10.5" customHeight="1">
      <c r="C152" s="13"/>
      <c r="D152" s="13"/>
      <c r="G152" s="13"/>
    </row>
    <row r="153" spans="3:7" s="12" customFormat="1" ht="10.5" customHeight="1">
      <c r="C153" s="13"/>
      <c r="D153" s="13"/>
      <c r="G153" s="13"/>
    </row>
    <row r="154" spans="3:7" s="12" customFormat="1" ht="10.5" customHeight="1">
      <c r="C154" s="13"/>
      <c r="D154" s="13"/>
      <c r="G154" s="13"/>
    </row>
    <row r="155" spans="3:7" s="12" customFormat="1" ht="10.5" customHeight="1">
      <c r="C155" s="13"/>
      <c r="D155" s="13"/>
      <c r="G155" s="13"/>
    </row>
    <row r="156" spans="3:7" s="12" customFormat="1" ht="10.5" customHeight="1">
      <c r="C156" s="13"/>
      <c r="D156" s="13"/>
      <c r="G156" s="13"/>
    </row>
    <row r="157" spans="3:7" s="12" customFormat="1" ht="10.5" customHeight="1">
      <c r="C157" s="13"/>
      <c r="D157" s="13"/>
      <c r="G157" s="13"/>
    </row>
    <row r="158" spans="3:7" s="12" customFormat="1" ht="10.5" customHeight="1">
      <c r="C158" s="13"/>
      <c r="D158" s="13"/>
      <c r="G158" s="13"/>
    </row>
    <row r="159" spans="3:7" s="12" customFormat="1" ht="10.5" customHeight="1">
      <c r="C159" s="13"/>
      <c r="D159" s="13"/>
      <c r="G159" s="13"/>
    </row>
    <row r="160" spans="3:7" s="12" customFormat="1" ht="10.5" customHeight="1">
      <c r="C160" s="13"/>
      <c r="D160" s="13"/>
      <c r="G160" s="13"/>
    </row>
    <row r="161" spans="3:7" s="12" customFormat="1" ht="10.5" customHeight="1">
      <c r="C161" s="13"/>
      <c r="D161" s="13"/>
      <c r="G161" s="13"/>
    </row>
    <row r="162" spans="3:7" s="12" customFormat="1" ht="10.5" customHeight="1">
      <c r="C162" s="13"/>
      <c r="D162" s="13"/>
      <c r="G162" s="13"/>
    </row>
    <row r="163" spans="3:7" s="12" customFormat="1" ht="10.5" customHeight="1">
      <c r="C163" s="13"/>
      <c r="D163" s="13"/>
      <c r="G163" s="13"/>
    </row>
    <row r="164" spans="3:7" s="12" customFormat="1" ht="10.5" customHeight="1">
      <c r="C164" s="13"/>
      <c r="D164" s="13"/>
      <c r="G164" s="13"/>
    </row>
    <row r="165" spans="3:7" s="12" customFormat="1" ht="10.5" customHeight="1">
      <c r="C165" s="13"/>
      <c r="D165" s="13"/>
      <c r="G165" s="13"/>
    </row>
    <row r="166" spans="3:7" s="12" customFormat="1" ht="10.5" customHeight="1">
      <c r="C166" s="13"/>
      <c r="D166" s="13"/>
      <c r="G166" s="13"/>
    </row>
    <row r="167" spans="3:7" s="12" customFormat="1" ht="10.5" customHeight="1">
      <c r="C167" s="13"/>
      <c r="D167" s="13"/>
      <c r="G167" s="13"/>
    </row>
    <row r="168" spans="3:7" s="12" customFormat="1" ht="10.5" customHeight="1">
      <c r="C168" s="13"/>
      <c r="D168" s="13"/>
      <c r="G168" s="13"/>
    </row>
    <row r="169" spans="3:7" s="12" customFormat="1" ht="10.5" customHeight="1">
      <c r="C169" s="13"/>
      <c r="D169" s="13"/>
      <c r="G169" s="13"/>
    </row>
    <row r="170" spans="3:7" s="12" customFormat="1" ht="10.5" customHeight="1">
      <c r="C170" s="13"/>
      <c r="D170" s="13"/>
      <c r="G170" s="13"/>
    </row>
    <row r="171" spans="3:7" s="12" customFormat="1" ht="10.5" customHeight="1">
      <c r="C171" s="13"/>
      <c r="D171" s="13"/>
      <c r="G171" s="13"/>
    </row>
    <row r="172" spans="3:7" s="12" customFormat="1" ht="10.5" customHeight="1">
      <c r="C172" s="13"/>
      <c r="D172" s="13"/>
      <c r="G172" s="13"/>
    </row>
    <row r="173" spans="3:7" s="12" customFormat="1" ht="10.5" customHeight="1">
      <c r="C173" s="13"/>
      <c r="D173" s="13"/>
      <c r="G173" s="13"/>
    </row>
    <row r="174" spans="3:7" s="12" customFormat="1" ht="10.5" customHeight="1">
      <c r="C174" s="13"/>
      <c r="D174" s="13"/>
      <c r="G174" s="13"/>
    </row>
    <row r="175" spans="3:7" s="12" customFormat="1" ht="10.5" customHeight="1">
      <c r="C175" s="13"/>
      <c r="D175" s="13"/>
      <c r="G175" s="13"/>
    </row>
    <row r="176" spans="3:7" s="12" customFormat="1" ht="10.5" customHeight="1">
      <c r="C176" s="13"/>
      <c r="D176" s="13"/>
      <c r="G176" s="13"/>
    </row>
    <row r="177" spans="3:7" s="12" customFormat="1" ht="10.5" customHeight="1">
      <c r="C177" s="13"/>
      <c r="D177" s="13"/>
      <c r="G177" s="13"/>
    </row>
    <row r="178" spans="3:7" s="12" customFormat="1" ht="10.5" customHeight="1">
      <c r="C178" s="13"/>
      <c r="D178" s="13"/>
      <c r="G178" s="13"/>
    </row>
    <row r="179" spans="3:7" s="12" customFormat="1" ht="10.5" customHeight="1">
      <c r="C179" s="13"/>
      <c r="D179" s="13"/>
      <c r="G179" s="13"/>
    </row>
    <row r="180" spans="3:7" s="12" customFormat="1" ht="10.5" customHeight="1">
      <c r="C180" s="13"/>
      <c r="D180" s="13"/>
      <c r="G180" s="13"/>
    </row>
    <row r="181" spans="3:7" s="12" customFormat="1" ht="10.5" customHeight="1">
      <c r="C181" s="13"/>
      <c r="D181" s="13"/>
      <c r="G181" s="13"/>
    </row>
    <row r="182" spans="3:7" s="12" customFormat="1" ht="10.5" customHeight="1">
      <c r="C182" s="13"/>
      <c r="D182" s="13"/>
      <c r="G182" s="13"/>
    </row>
    <row r="183" spans="3:7" s="12" customFormat="1" ht="10.5" customHeight="1">
      <c r="C183" s="13"/>
      <c r="D183" s="13"/>
      <c r="G183" s="13"/>
    </row>
    <row r="184" spans="3:7" s="12" customFormat="1" ht="10.5" customHeight="1">
      <c r="C184" s="13"/>
      <c r="D184" s="13"/>
      <c r="G184" s="13"/>
    </row>
    <row r="185" spans="3:7" s="12" customFormat="1" ht="10.5" customHeight="1">
      <c r="C185" s="13"/>
      <c r="D185" s="13"/>
      <c r="G185" s="13"/>
    </row>
    <row r="186" spans="3:7" s="12" customFormat="1" ht="10.5" customHeight="1">
      <c r="C186" s="13"/>
      <c r="D186" s="13"/>
      <c r="G186" s="13"/>
    </row>
    <row r="187" spans="3:7" s="12" customFormat="1" ht="10.5" customHeight="1">
      <c r="C187" s="13"/>
      <c r="D187" s="13"/>
      <c r="G187" s="13"/>
    </row>
    <row r="188" spans="3:7" s="12" customFormat="1" ht="10.5" customHeight="1">
      <c r="C188" s="13"/>
      <c r="D188" s="13"/>
      <c r="G188" s="13"/>
    </row>
    <row r="189" spans="3:7" s="12" customFormat="1" ht="10.5" customHeight="1">
      <c r="C189" s="13"/>
      <c r="D189" s="13"/>
      <c r="G189" s="13"/>
    </row>
    <row r="190" spans="3:7" s="12" customFormat="1" ht="10.5" customHeight="1">
      <c r="C190" s="13"/>
      <c r="D190" s="13"/>
      <c r="G190" s="13"/>
    </row>
    <row r="191" spans="3:7" s="12" customFormat="1" ht="10.5" customHeight="1">
      <c r="C191" s="13"/>
      <c r="D191" s="13"/>
      <c r="G191" s="13"/>
    </row>
    <row r="192" spans="3:7" s="12" customFormat="1" ht="10.5" customHeight="1">
      <c r="C192" s="13"/>
      <c r="D192" s="13"/>
      <c r="G192" s="13"/>
    </row>
    <row r="193" spans="3:7" s="12" customFormat="1" ht="10.5" customHeight="1">
      <c r="C193" s="13"/>
      <c r="D193" s="13"/>
      <c r="G193" s="13"/>
    </row>
    <row r="194" spans="3:7" s="12" customFormat="1" ht="10.5" customHeight="1">
      <c r="C194" s="13"/>
      <c r="D194" s="13"/>
      <c r="G194" s="13"/>
    </row>
    <row r="195" spans="3:7" s="12" customFormat="1" ht="10.5" customHeight="1">
      <c r="C195" s="13"/>
      <c r="D195" s="13"/>
      <c r="G195" s="13"/>
    </row>
    <row r="196" spans="3:7" s="12" customFormat="1" ht="10.5" customHeight="1">
      <c r="C196" s="13"/>
      <c r="D196" s="13"/>
      <c r="G196" s="13"/>
    </row>
    <row r="197" spans="3:7" s="12" customFormat="1" ht="10.5" customHeight="1">
      <c r="C197" s="13"/>
      <c r="D197" s="13"/>
      <c r="G197" s="13"/>
    </row>
    <row r="198" spans="3:7" s="12" customFormat="1" ht="10.5" customHeight="1">
      <c r="C198" s="13"/>
      <c r="D198" s="13"/>
      <c r="G198" s="13"/>
    </row>
    <row r="199" spans="3:7" s="12" customFormat="1" ht="10.5" customHeight="1">
      <c r="C199" s="13"/>
      <c r="D199" s="13"/>
      <c r="G199" s="13"/>
    </row>
    <row r="200" spans="3:7" s="12" customFormat="1" ht="10.5" customHeight="1">
      <c r="C200" s="13"/>
      <c r="D200" s="13"/>
      <c r="G200" s="13"/>
    </row>
    <row r="201" spans="3:7" s="12" customFormat="1" ht="10.5" customHeight="1">
      <c r="C201" s="13"/>
      <c r="D201" s="13"/>
      <c r="G201" s="13"/>
    </row>
    <row r="202" spans="3:7" s="12" customFormat="1" ht="10.5" customHeight="1">
      <c r="C202" s="13"/>
      <c r="D202" s="13"/>
      <c r="G202" s="13"/>
    </row>
    <row r="203" spans="3:7" s="12" customFormat="1" ht="10.5" customHeight="1">
      <c r="C203" s="13"/>
      <c r="D203" s="13"/>
      <c r="G203" s="13"/>
    </row>
    <row r="204" spans="3:7" s="12" customFormat="1" ht="10.5" customHeight="1">
      <c r="C204" s="13"/>
      <c r="D204" s="13"/>
      <c r="G204" s="13"/>
    </row>
    <row r="205" spans="3:7" s="12" customFormat="1" ht="10.5" customHeight="1">
      <c r="C205" s="13"/>
      <c r="D205" s="13"/>
      <c r="G205" s="13"/>
    </row>
    <row r="206" spans="3:7" s="12" customFormat="1" ht="10.5" customHeight="1">
      <c r="C206" s="13"/>
      <c r="D206" s="13"/>
      <c r="G206" s="13"/>
    </row>
    <row r="207" spans="3:7" s="12" customFormat="1" ht="10.5" customHeight="1">
      <c r="C207" s="13"/>
      <c r="D207" s="13"/>
      <c r="G207" s="13"/>
    </row>
    <row r="208" spans="3:7" s="12" customFormat="1" ht="10.5" customHeight="1">
      <c r="C208" s="13"/>
      <c r="D208" s="13"/>
      <c r="G208" s="13"/>
    </row>
    <row r="209" spans="3:7" s="12" customFormat="1" ht="10.5" customHeight="1">
      <c r="C209" s="13"/>
      <c r="D209" s="13"/>
      <c r="G209" s="13"/>
    </row>
    <row r="210" spans="3:7" s="12" customFormat="1" ht="10.5" customHeight="1">
      <c r="C210" s="13"/>
      <c r="D210" s="13"/>
      <c r="G210" s="13"/>
    </row>
    <row r="211" spans="3:7" s="12" customFormat="1" ht="10.5" customHeight="1">
      <c r="C211" s="13"/>
      <c r="D211" s="13"/>
      <c r="G211" s="13"/>
    </row>
    <row r="212" spans="3:7" s="12" customFormat="1" ht="10.5" customHeight="1">
      <c r="C212" s="13"/>
      <c r="D212" s="13"/>
      <c r="G212" s="13"/>
    </row>
    <row r="213" spans="3:7" s="12" customFormat="1" ht="10.5" customHeight="1">
      <c r="C213" s="13"/>
      <c r="D213" s="13"/>
      <c r="G213" s="13"/>
    </row>
    <row r="214" spans="3:7" s="12" customFormat="1" ht="10.5" customHeight="1">
      <c r="C214" s="13"/>
      <c r="D214" s="13"/>
      <c r="G214" s="13"/>
    </row>
    <row r="215" spans="3:7" s="12" customFormat="1" ht="10.5" customHeight="1">
      <c r="C215" s="13"/>
      <c r="D215" s="13"/>
      <c r="G215" s="13"/>
    </row>
    <row r="216" spans="3:7" s="12" customFormat="1" ht="10.5" customHeight="1">
      <c r="C216" s="13"/>
      <c r="D216" s="13"/>
      <c r="G216" s="13"/>
    </row>
    <row r="217" spans="3:7" s="12" customFormat="1" ht="10.5" customHeight="1">
      <c r="C217" s="13"/>
      <c r="D217" s="13"/>
      <c r="G217" s="13"/>
    </row>
    <row r="218" spans="3:7" s="12" customFormat="1" ht="10.5" customHeight="1">
      <c r="C218" s="13"/>
      <c r="D218" s="13"/>
      <c r="G218" s="13"/>
    </row>
    <row r="219" spans="3:7" s="12" customFormat="1" ht="10.5" customHeight="1">
      <c r="C219" s="13"/>
      <c r="D219" s="13"/>
      <c r="G219" s="13"/>
    </row>
    <row r="220" spans="3:7" s="12" customFormat="1" ht="10.5" customHeight="1">
      <c r="C220" s="13"/>
      <c r="D220" s="13"/>
      <c r="G220" s="13"/>
    </row>
    <row r="221" spans="3:7" s="12" customFormat="1" ht="10.5" customHeight="1">
      <c r="C221" s="13"/>
      <c r="D221" s="13"/>
      <c r="G221" s="13"/>
    </row>
    <row r="222" spans="3:7" s="12" customFormat="1" ht="10.5" customHeight="1">
      <c r="C222" s="13"/>
      <c r="D222" s="13"/>
      <c r="G222" s="13"/>
    </row>
    <row r="223" spans="3:7" s="12" customFormat="1" ht="10.5" customHeight="1">
      <c r="C223" s="13"/>
      <c r="D223" s="13"/>
      <c r="G223" s="13"/>
    </row>
    <row r="224" spans="3:7" s="12" customFormat="1" ht="10.5" customHeight="1">
      <c r="C224" s="13"/>
      <c r="D224" s="13"/>
      <c r="G224" s="13"/>
    </row>
    <row r="225" spans="3:7" s="12" customFormat="1" ht="10.5" customHeight="1">
      <c r="C225" s="13"/>
      <c r="D225" s="13"/>
      <c r="G225" s="13"/>
    </row>
    <row r="226" spans="3:7" s="12" customFormat="1" ht="10.5" customHeight="1">
      <c r="C226" s="13"/>
      <c r="D226" s="13"/>
      <c r="G226" s="13"/>
    </row>
    <row r="227" spans="3:7" s="12" customFormat="1" ht="10.5" customHeight="1">
      <c r="C227" s="13"/>
      <c r="D227" s="13"/>
      <c r="G227" s="13"/>
    </row>
    <row r="228" spans="3:7" s="12" customFormat="1" ht="10.5" customHeight="1">
      <c r="C228" s="13"/>
      <c r="D228" s="13"/>
      <c r="G228" s="13"/>
    </row>
    <row r="229" spans="3:7" s="12" customFormat="1" ht="10.5" customHeight="1">
      <c r="C229" s="13"/>
      <c r="D229" s="13"/>
      <c r="G229" s="13"/>
    </row>
    <row r="230" spans="3:7" s="12" customFormat="1" ht="10.5" customHeight="1">
      <c r="C230" s="13"/>
      <c r="D230" s="13"/>
      <c r="G230" s="13"/>
    </row>
    <row r="231" spans="3:7" s="12" customFormat="1" ht="10.5" customHeight="1">
      <c r="C231" s="13"/>
      <c r="D231" s="13"/>
      <c r="G231" s="13"/>
    </row>
    <row r="232" spans="3:7" s="12" customFormat="1" ht="10.5" customHeight="1">
      <c r="C232" s="13"/>
      <c r="D232" s="13"/>
      <c r="G232" s="13"/>
    </row>
    <row r="233" spans="3:7" s="12" customFormat="1" ht="10.5" customHeight="1">
      <c r="C233" s="13"/>
      <c r="D233" s="13"/>
      <c r="G233" s="13"/>
    </row>
    <row r="234" spans="3:7" s="12" customFormat="1" ht="10.5" customHeight="1">
      <c r="C234" s="13"/>
      <c r="D234" s="13"/>
      <c r="G234" s="13"/>
    </row>
    <row r="235" spans="3:7" s="12" customFormat="1" ht="10.5" customHeight="1">
      <c r="C235" s="13"/>
      <c r="D235" s="13"/>
      <c r="G235" s="13"/>
    </row>
    <row r="236" spans="3:7" s="12" customFormat="1" ht="10.5" customHeight="1">
      <c r="C236" s="13"/>
      <c r="D236" s="13"/>
      <c r="G236" s="13"/>
    </row>
    <row r="237" spans="3:7" s="12" customFormat="1" ht="10.5" customHeight="1">
      <c r="C237" s="13"/>
      <c r="D237" s="13"/>
      <c r="G237" s="13"/>
    </row>
    <row r="238" spans="3:7" s="12" customFormat="1" ht="10.5" customHeight="1">
      <c r="C238" s="13"/>
      <c r="D238" s="13"/>
      <c r="G238" s="13"/>
    </row>
    <row r="239" spans="3:7" s="12" customFormat="1" ht="10.5" customHeight="1">
      <c r="C239" s="13"/>
      <c r="D239" s="13"/>
      <c r="G239" s="13"/>
    </row>
    <row r="240" spans="3:7" s="12" customFormat="1" ht="10.5" customHeight="1">
      <c r="C240" s="13"/>
      <c r="D240" s="13"/>
      <c r="G240" s="13"/>
    </row>
    <row r="241" spans="3:7" s="12" customFormat="1" ht="10.5" customHeight="1">
      <c r="C241" s="13"/>
      <c r="D241" s="13"/>
      <c r="G241" s="13"/>
    </row>
    <row r="242" spans="3:7" s="12" customFormat="1" ht="10.5" customHeight="1">
      <c r="C242" s="13"/>
      <c r="D242" s="13"/>
      <c r="G242" s="13"/>
    </row>
    <row r="243" spans="3:7" s="12" customFormat="1" ht="10.5" customHeight="1">
      <c r="C243" s="13"/>
      <c r="D243" s="13"/>
      <c r="G243" s="13"/>
    </row>
    <row r="244" spans="3:7" s="12" customFormat="1" ht="10.5" customHeight="1">
      <c r="C244" s="13"/>
      <c r="D244" s="13"/>
      <c r="G244" s="13"/>
    </row>
    <row r="245" spans="3:7" s="12" customFormat="1" ht="10.5" customHeight="1">
      <c r="C245" s="13"/>
      <c r="D245" s="13"/>
      <c r="G245" s="13"/>
    </row>
    <row r="246" spans="3:7" s="12" customFormat="1" ht="10.5" customHeight="1">
      <c r="C246" s="13"/>
      <c r="D246" s="13"/>
      <c r="G246" s="13"/>
    </row>
    <row r="247" spans="3:7" s="12" customFormat="1" ht="10.5" customHeight="1">
      <c r="C247" s="13"/>
      <c r="D247" s="13"/>
      <c r="G247" s="13"/>
    </row>
    <row r="248" spans="3:7" s="12" customFormat="1" ht="10.5" customHeight="1">
      <c r="C248" s="13"/>
      <c r="D248" s="13"/>
      <c r="G248" s="13"/>
    </row>
    <row r="249" spans="3:7" s="12" customFormat="1" ht="10.5" customHeight="1">
      <c r="C249" s="13"/>
      <c r="D249" s="13"/>
      <c r="G249" s="13"/>
    </row>
    <row r="250" spans="3:7" s="12" customFormat="1" ht="10.5" customHeight="1">
      <c r="C250" s="13"/>
      <c r="D250" s="13"/>
      <c r="G250" s="13"/>
    </row>
    <row r="251" spans="3:7" s="12" customFormat="1" ht="10.5" customHeight="1">
      <c r="C251" s="13"/>
      <c r="D251" s="13"/>
      <c r="G251" s="13"/>
    </row>
    <row r="252" spans="3:7" s="12" customFormat="1" ht="10.5" customHeight="1">
      <c r="C252" s="13"/>
      <c r="D252" s="13"/>
      <c r="G252" s="13"/>
    </row>
    <row r="253" spans="3:7" s="12" customFormat="1" ht="10.5" customHeight="1">
      <c r="C253" s="13"/>
      <c r="D253" s="13"/>
      <c r="G253" s="13"/>
    </row>
    <row r="254" spans="3:7" s="12" customFormat="1" ht="10.5" customHeight="1">
      <c r="C254" s="13"/>
      <c r="D254" s="13"/>
      <c r="G254" s="13"/>
    </row>
    <row r="255" spans="3:7" s="12" customFormat="1" ht="10.5" customHeight="1">
      <c r="C255" s="13"/>
      <c r="D255" s="13"/>
      <c r="G255" s="13"/>
    </row>
    <row r="256" spans="3:7" s="12" customFormat="1" ht="10.5" customHeight="1">
      <c r="C256" s="13"/>
      <c r="D256" s="13"/>
      <c r="G256" s="13"/>
    </row>
    <row r="257" spans="3:7" s="12" customFormat="1" ht="10.5" customHeight="1">
      <c r="C257" s="13"/>
      <c r="D257" s="13"/>
      <c r="G257" s="13"/>
    </row>
    <row r="258" spans="3:7" s="12" customFormat="1" ht="10.5" customHeight="1">
      <c r="C258" s="13"/>
      <c r="D258" s="13"/>
      <c r="G258" s="13"/>
    </row>
    <row r="259" spans="3:7" s="12" customFormat="1" ht="10.5" customHeight="1">
      <c r="C259" s="13"/>
      <c r="D259" s="13"/>
      <c r="G259" s="13"/>
    </row>
    <row r="260" spans="3:7" s="12" customFormat="1" ht="10.5" customHeight="1">
      <c r="C260" s="13"/>
      <c r="D260" s="13"/>
      <c r="G260" s="13"/>
    </row>
    <row r="261" spans="3:7" s="12" customFormat="1" ht="10.5" customHeight="1">
      <c r="C261" s="13"/>
      <c r="D261" s="13"/>
      <c r="G261" s="13"/>
    </row>
    <row r="262" spans="3:7" s="12" customFormat="1" ht="10.5" customHeight="1">
      <c r="C262" s="13"/>
      <c r="D262" s="13"/>
      <c r="G262" s="13"/>
    </row>
    <row r="263" spans="3:7" s="12" customFormat="1" ht="10.5" customHeight="1">
      <c r="C263" s="13"/>
      <c r="D263" s="13"/>
      <c r="G263" s="13"/>
    </row>
    <row r="264" spans="3:7" s="12" customFormat="1" ht="10.5" customHeight="1">
      <c r="C264" s="13"/>
      <c r="D264" s="13"/>
      <c r="G264" s="13"/>
    </row>
    <row r="265" spans="3:7" s="12" customFormat="1" ht="10.5" customHeight="1">
      <c r="C265" s="13"/>
      <c r="D265" s="13"/>
      <c r="G265" s="13"/>
    </row>
    <row r="266" spans="3:7" s="12" customFormat="1" ht="10.5" customHeight="1">
      <c r="C266" s="13"/>
      <c r="D266" s="13"/>
      <c r="G266" s="13"/>
    </row>
    <row r="267" spans="3:7" s="12" customFormat="1" ht="10.5" customHeight="1">
      <c r="C267" s="13"/>
      <c r="D267" s="13"/>
      <c r="G267" s="13"/>
    </row>
    <row r="268" spans="3:7" s="12" customFormat="1" ht="10.5" customHeight="1">
      <c r="C268" s="13"/>
      <c r="D268" s="13"/>
      <c r="G268" s="13"/>
    </row>
    <row r="269" spans="3:7" s="12" customFormat="1" ht="10.5" customHeight="1">
      <c r="C269" s="13"/>
      <c r="D269" s="13"/>
      <c r="G269" s="13"/>
    </row>
    <row r="270" spans="3:7" s="12" customFormat="1" ht="10.5" customHeight="1">
      <c r="C270" s="13"/>
      <c r="D270" s="13"/>
      <c r="G270" s="13"/>
    </row>
    <row r="271" spans="3:7" s="12" customFormat="1" ht="10.5" customHeight="1">
      <c r="C271" s="13"/>
      <c r="D271" s="13"/>
      <c r="G271" s="13"/>
    </row>
    <row r="272" spans="3:7" s="12" customFormat="1" ht="10.5" customHeight="1">
      <c r="C272" s="13"/>
      <c r="D272" s="13"/>
      <c r="G272" s="13"/>
    </row>
    <row r="273" spans="3:7" s="12" customFormat="1" ht="10.5" customHeight="1">
      <c r="C273" s="13"/>
      <c r="D273" s="13"/>
      <c r="G273" s="13"/>
    </row>
    <row r="274" spans="3:7" s="12" customFormat="1" ht="10.5" customHeight="1">
      <c r="C274" s="13"/>
      <c r="D274" s="13"/>
      <c r="G274" s="13"/>
    </row>
    <row r="275" spans="3:7" s="12" customFormat="1" ht="10.5" customHeight="1">
      <c r="C275" s="13"/>
      <c r="D275" s="13"/>
      <c r="G275" s="13"/>
    </row>
    <row r="276" spans="3:7" s="12" customFormat="1" ht="10.5" customHeight="1">
      <c r="C276" s="13"/>
      <c r="D276" s="13"/>
      <c r="G276" s="13"/>
    </row>
    <row r="277" spans="3:7" s="12" customFormat="1" ht="10.5" customHeight="1">
      <c r="C277" s="13"/>
      <c r="D277" s="13"/>
      <c r="G277" s="13"/>
    </row>
    <row r="278" spans="3:7" s="12" customFormat="1" ht="10.5" customHeight="1">
      <c r="C278" s="13"/>
      <c r="D278" s="13"/>
      <c r="G278" s="13"/>
    </row>
    <row r="279" spans="3:7" s="12" customFormat="1" ht="10.5" customHeight="1">
      <c r="C279" s="13"/>
      <c r="D279" s="13"/>
      <c r="G279" s="13"/>
    </row>
    <row r="280" spans="3:7" s="12" customFormat="1" ht="10.5" customHeight="1">
      <c r="C280" s="13"/>
      <c r="D280" s="13"/>
      <c r="G280" s="13"/>
    </row>
    <row r="281" spans="3:7" s="12" customFormat="1" ht="10.5" customHeight="1">
      <c r="C281" s="13"/>
      <c r="D281" s="13"/>
      <c r="G281" s="13"/>
    </row>
    <row r="282" spans="3:7" s="12" customFormat="1" ht="10.5" customHeight="1">
      <c r="C282" s="13"/>
      <c r="D282" s="13"/>
      <c r="G282" s="13"/>
    </row>
    <row r="283" spans="3:7" s="12" customFormat="1" ht="10.5" customHeight="1">
      <c r="C283" s="13"/>
      <c r="D283" s="13"/>
      <c r="G283" s="13"/>
    </row>
    <row r="284" spans="3:7" s="12" customFormat="1" ht="10.5" customHeight="1">
      <c r="C284" s="13"/>
      <c r="D284" s="13"/>
      <c r="G284" s="13"/>
    </row>
    <row r="285" spans="3:7" s="12" customFormat="1" ht="10.5" customHeight="1">
      <c r="C285" s="13"/>
      <c r="D285" s="13"/>
      <c r="G285" s="13"/>
    </row>
    <row r="286" spans="3:7" s="12" customFormat="1" ht="10.5" customHeight="1">
      <c r="C286" s="13"/>
      <c r="D286" s="13"/>
      <c r="G286" s="13"/>
    </row>
    <row r="287" spans="3:7" s="12" customFormat="1" ht="10.5" customHeight="1">
      <c r="C287" s="13"/>
      <c r="D287" s="13"/>
      <c r="G287" s="13"/>
    </row>
    <row r="288" spans="3:7" s="12" customFormat="1" ht="10.5" customHeight="1">
      <c r="C288" s="13"/>
      <c r="D288" s="13"/>
      <c r="G288" s="13"/>
    </row>
    <row r="289" spans="3:7" s="12" customFormat="1" ht="10.5" customHeight="1">
      <c r="C289" s="13"/>
      <c r="D289" s="13"/>
      <c r="G289" s="13"/>
    </row>
    <row r="290" spans="3:7" s="12" customFormat="1" ht="10.5" customHeight="1">
      <c r="C290" s="13"/>
      <c r="D290" s="13"/>
      <c r="G290" s="13"/>
    </row>
    <row r="291" spans="3:7" s="12" customFormat="1" ht="10.5" customHeight="1">
      <c r="C291" s="13"/>
      <c r="D291" s="13"/>
      <c r="G291" s="13"/>
    </row>
    <row r="292" spans="3:7" s="12" customFormat="1" ht="10.5" customHeight="1">
      <c r="C292" s="13"/>
      <c r="D292" s="13"/>
      <c r="G292" s="13"/>
    </row>
    <row r="293" spans="3:7" s="12" customFormat="1" ht="10.5" customHeight="1">
      <c r="C293" s="13"/>
      <c r="D293" s="13"/>
      <c r="G293" s="13"/>
    </row>
    <row r="294" spans="3:7" s="12" customFormat="1" ht="10.5" customHeight="1">
      <c r="C294" s="13"/>
      <c r="D294" s="13"/>
      <c r="G294" s="13"/>
    </row>
    <row r="295" spans="3:7" s="12" customFormat="1" ht="10.5" customHeight="1">
      <c r="C295" s="13"/>
      <c r="D295" s="13"/>
      <c r="G295" s="13"/>
    </row>
    <row r="296" spans="3:7" s="12" customFormat="1" ht="10.5" customHeight="1">
      <c r="C296" s="13"/>
      <c r="D296" s="13"/>
      <c r="G296" s="13"/>
    </row>
    <row r="297" spans="3:7" s="12" customFormat="1" ht="10.5" customHeight="1">
      <c r="C297" s="13"/>
      <c r="D297" s="13"/>
      <c r="G297" s="13"/>
    </row>
    <row r="298" spans="3:7" s="12" customFormat="1" ht="10.5" customHeight="1">
      <c r="C298" s="13"/>
      <c r="D298" s="13"/>
      <c r="G298" s="13"/>
    </row>
    <row r="299" spans="3:7" s="12" customFormat="1" ht="10.5" customHeight="1">
      <c r="C299" s="13"/>
      <c r="D299" s="13"/>
      <c r="G299" s="13"/>
    </row>
    <row r="300" spans="3:7" s="12" customFormat="1" ht="10.5" customHeight="1">
      <c r="C300" s="13"/>
      <c r="D300" s="13"/>
      <c r="G300" s="13"/>
    </row>
    <row r="301" spans="3:7" s="12" customFormat="1" ht="10.5" customHeight="1">
      <c r="C301" s="13"/>
      <c r="D301" s="13"/>
      <c r="G301" s="13"/>
    </row>
    <row r="302" spans="3:7" s="12" customFormat="1" ht="10.5" customHeight="1">
      <c r="C302" s="13"/>
      <c r="D302" s="13"/>
      <c r="G302" s="13"/>
    </row>
    <row r="303" spans="3:7" s="12" customFormat="1" ht="10.5" customHeight="1">
      <c r="C303" s="13"/>
      <c r="D303" s="13"/>
      <c r="G303" s="13"/>
    </row>
    <row r="304" spans="3:7" s="12" customFormat="1" ht="10.5" customHeight="1">
      <c r="C304" s="13"/>
      <c r="D304" s="13"/>
      <c r="G304" s="13"/>
    </row>
    <row r="305" spans="3:7" s="12" customFormat="1" ht="10.5" customHeight="1">
      <c r="C305" s="13"/>
      <c r="D305" s="13"/>
      <c r="G305" s="13"/>
    </row>
    <row r="306" spans="3:7" s="12" customFormat="1" ht="10.5" customHeight="1">
      <c r="C306" s="13"/>
      <c r="D306" s="13"/>
      <c r="G306" s="13"/>
    </row>
    <row r="307" spans="3:7" s="12" customFormat="1" ht="10.5" customHeight="1">
      <c r="C307" s="13"/>
      <c r="D307" s="13"/>
      <c r="G307" s="13"/>
    </row>
    <row r="308" spans="3:7" s="12" customFormat="1" ht="10.5" customHeight="1">
      <c r="C308" s="13"/>
      <c r="D308" s="13"/>
      <c r="G308" s="13"/>
    </row>
    <row r="309" spans="3:7" s="12" customFormat="1" ht="10.5" customHeight="1">
      <c r="C309" s="13"/>
      <c r="D309" s="13"/>
      <c r="G309" s="13"/>
    </row>
    <row r="310" spans="3:7" s="12" customFormat="1" ht="10.5" customHeight="1">
      <c r="C310" s="13"/>
      <c r="D310" s="13"/>
      <c r="G310" s="13"/>
    </row>
    <row r="311" spans="3:7" s="12" customFormat="1" ht="10.5" customHeight="1">
      <c r="C311" s="13"/>
      <c r="D311" s="13"/>
      <c r="G311" s="13"/>
    </row>
    <row r="312" spans="3:7" s="12" customFormat="1" ht="10.5" customHeight="1">
      <c r="C312" s="13"/>
      <c r="D312" s="13"/>
      <c r="G312" s="13"/>
    </row>
    <row r="313" spans="3:7" s="12" customFormat="1" ht="10.5" customHeight="1">
      <c r="C313" s="13"/>
      <c r="D313" s="13"/>
      <c r="G313" s="13"/>
    </row>
    <row r="314" spans="3:7" s="12" customFormat="1" ht="10.5" customHeight="1">
      <c r="C314" s="13"/>
      <c r="D314" s="13"/>
      <c r="G314" s="13"/>
    </row>
    <row r="315" spans="3:7" s="12" customFormat="1" ht="10.5" customHeight="1">
      <c r="C315" s="13"/>
      <c r="D315" s="13"/>
      <c r="G315" s="13"/>
    </row>
    <row r="316" spans="3:7" s="12" customFormat="1" ht="10.5" customHeight="1">
      <c r="C316" s="13"/>
      <c r="D316" s="13"/>
      <c r="G316" s="13"/>
    </row>
    <row r="317" spans="3:7" s="12" customFormat="1" ht="10.5" customHeight="1">
      <c r="C317" s="13"/>
      <c r="D317" s="13"/>
      <c r="G317" s="13"/>
    </row>
    <row r="318" spans="3:7" s="12" customFormat="1" ht="10.5" customHeight="1">
      <c r="C318" s="13"/>
      <c r="D318" s="13"/>
      <c r="G318" s="13"/>
    </row>
    <row r="319" spans="3:7" s="12" customFormat="1" ht="10.5" customHeight="1">
      <c r="C319" s="13"/>
      <c r="D319" s="13"/>
      <c r="G319" s="13"/>
    </row>
    <row r="320" spans="3:7" s="12" customFormat="1" ht="10.5" customHeight="1">
      <c r="C320" s="13"/>
      <c r="D320" s="13"/>
      <c r="G320" s="13"/>
    </row>
    <row r="321" spans="3:7" s="12" customFormat="1" ht="10.5" customHeight="1">
      <c r="C321" s="13"/>
      <c r="D321" s="13"/>
      <c r="G321" s="13"/>
    </row>
    <row r="322" spans="3:7" s="12" customFormat="1" ht="10.5" customHeight="1">
      <c r="C322" s="13"/>
      <c r="D322" s="13"/>
      <c r="G322" s="13"/>
    </row>
    <row r="323" spans="3:7" s="12" customFormat="1" ht="10.5" customHeight="1">
      <c r="C323" s="13"/>
      <c r="D323" s="13"/>
      <c r="G323" s="13"/>
    </row>
    <row r="324" spans="3:7" s="12" customFormat="1" ht="10.5" customHeight="1">
      <c r="C324" s="13"/>
      <c r="D324" s="13"/>
      <c r="G324" s="13"/>
    </row>
    <row r="325" spans="3:7" s="12" customFormat="1" ht="10.5" customHeight="1">
      <c r="C325" s="13"/>
      <c r="D325" s="13"/>
      <c r="G325" s="13"/>
    </row>
    <row r="326" spans="3:7" s="12" customFormat="1" ht="10.5" customHeight="1">
      <c r="C326" s="13"/>
      <c r="D326" s="13"/>
      <c r="G326" s="13"/>
    </row>
    <row r="327" spans="3:7" s="12" customFormat="1" ht="10.5" customHeight="1">
      <c r="C327" s="13"/>
      <c r="D327" s="13"/>
      <c r="G327" s="13"/>
    </row>
    <row r="328" spans="3:7" s="12" customFormat="1" ht="10.5" customHeight="1">
      <c r="C328" s="13"/>
      <c r="D328" s="13"/>
      <c r="G328" s="13"/>
    </row>
    <row r="329" spans="3:7" s="12" customFormat="1" ht="10.5" customHeight="1">
      <c r="C329" s="13"/>
      <c r="D329" s="13"/>
      <c r="G329" s="13"/>
    </row>
    <row r="330" spans="3:7" s="12" customFormat="1" ht="10.5" customHeight="1">
      <c r="C330" s="13"/>
      <c r="D330" s="13"/>
      <c r="G330" s="13"/>
    </row>
    <row r="331" spans="3:7" s="12" customFormat="1" ht="10.5" customHeight="1">
      <c r="C331" s="13"/>
      <c r="D331" s="13"/>
      <c r="G331" s="13"/>
    </row>
    <row r="332" spans="3:7" s="12" customFormat="1" ht="10.5" customHeight="1">
      <c r="C332" s="13"/>
      <c r="D332" s="13"/>
      <c r="G332" s="13"/>
    </row>
    <row r="333" spans="3:7" s="12" customFormat="1" ht="10.5" customHeight="1">
      <c r="C333" s="13"/>
      <c r="D333" s="13"/>
      <c r="G333" s="13"/>
    </row>
    <row r="334" spans="3:7" s="12" customFormat="1" ht="10.5" customHeight="1">
      <c r="C334" s="13"/>
      <c r="D334" s="13"/>
      <c r="G334" s="13"/>
    </row>
    <row r="335" spans="3:7" s="12" customFormat="1" ht="10.5" customHeight="1">
      <c r="C335" s="13"/>
      <c r="D335" s="13"/>
      <c r="G335" s="13"/>
    </row>
    <row r="336" spans="3:7" s="12" customFormat="1" ht="10.5" customHeight="1">
      <c r="C336" s="13"/>
      <c r="D336" s="13"/>
      <c r="G336" s="13"/>
    </row>
    <row r="337" spans="2:7" s="12" customFormat="1" ht="10.5" customHeight="1">
      <c r="B337" s="4"/>
      <c r="C337" s="6"/>
      <c r="D337" s="6"/>
      <c r="E337" s="3"/>
      <c r="G337" s="13"/>
    </row>
    <row r="338" spans="2:7" s="12" customFormat="1" ht="10.5" customHeight="1">
      <c r="B338" s="4"/>
      <c r="C338" s="6"/>
      <c r="D338" s="6"/>
      <c r="E338" s="3"/>
      <c r="G338" s="13"/>
    </row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ht="10.5" customHeight="1"/>
    <row r="611" ht="10.5" customHeight="1"/>
    <row r="612" ht="10.5" customHeight="1"/>
    <row r="613" ht="10.5" customHeight="1"/>
    <row r="614" ht="10.5" customHeight="1"/>
    <row r="615" ht="10.5" customHeight="1"/>
    <row r="616" ht="10.5" customHeight="1"/>
    <row r="617" ht="10.5" customHeight="1"/>
    <row r="618" ht="10.5" customHeight="1"/>
    <row r="619" ht="10.5" customHeight="1"/>
    <row r="620" ht="10.5" customHeight="1"/>
    <row r="621" ht="10.5" customHeight="1"/>
    <row r="622" ht="10.5" customHeight="1"/>
    <row r="623" ht="10.5" customHeight="1"/>
    <row r="624" ht="10.5" customHeight="1"/>
    <row r="625" ht="10.5" customHeight="1"/>
    <row r="626" ht="10.5" customHeight="1"/>
    <row r="627" ht="10.5" customHeight="1"/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</sheetData>
  <sheetProtection/>
  <printOptions/>
  <pageMargins left="0.75" right="0.71" top="0.45" bottom="0.35" header="0.45" footer="0.36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O155"/>
  <sheetViews>
    <sheetView zoomScale="85" zoomScaleNormal="85" zoomScalePageLayoutView="0" workbookViewId="0" topLeftCell="B1">
      <selection activeCell="H7" sqref="H7"/>
    </sheetView>
  </sheetViews>
  <sheetFormatPr defaultColWidth="9.140625" defaultRowHeight="12.75"/>
  <cols>
    <col min="1" max="1" width="3.7109375" style="166" customWidth="1"/>
    <col min="2" max="2" width="11.7109375" style="94" customWidth="1"/>
    <col min="3" max="3" width="9.8515625" style="94" customWidth="1"/>
    <col min="4" max="4" width="10.7109375" style="94" customWidth="1"/>
    <col min="5" max="5" width="16.57421875" style="94" customWidth="1"/>
    <col min="6" max="7" width="6.57421875" style="94" customWidth="1"/>
    <col min="8" max="8" width="8.421875" style="94" customWidth="1"/>
    <col min="9" max="10" width="6.421875" style="94" customWidth="1"/>
    <col min="11" max="11" width="8.28125" style="94" customWidth="1"/>
    <col min="12" max="12" width="8.00390625" style="166" customWidth="1"/>
    <col min="13" max="13" width="11.28125" style="150" customWidth="1"/>
    <col min="14" max="14" width="5.57421875" style="166" customWidth="1"/>
    <col min="15" max="15" width="9.421875" style="166" customWidth="1"/>
    <col min="16" max="23" width="9.140625" style="166" customWidth="1"/>
    <col min="24" max="16384" width="9.140625" style="170" customWidth="1"/>
  </cols>
  <sheetData>
    <row r="1" spans="2:13" ht="10.5">
      <c r="B1" s="167" t="s">
        <v>11</v>
      </c>
      <c r="C1" s="167"/>
      <c r="D1" s="167"/>
      <c r="E1" s="167"/>
      <c r="F1" s="168" t="s">
        <v>192</v>
      </c>
      <c r="G1" s="167"/>
      <c r="H1" s="167"/>
      <c r="I1" s="167"/>
      <c r="J1" s="167"/>
      <c r="K1" s="167"/>
      <c r="L1" s="167"/>
      <c r="M1" s="215" t="s">
        <v>273</v>
      </c>
    </row>
    <row r="2" spans="2:15" ht="13.5" customHeight="1">
      <c r="B2" s="171" t="s">
        <v>57</v>
      </c>
      <c r="C2" s="92" t="str">
        <f>Bedrijfsgegevens!C3</f>
        <v>Naam leerling</v>
      </c>
      <c r="D2" s="93"/>
      <c r="E2" s="93"/>
      <c r="F2" s="93">
        <f>Bedrijfsgegevens!E2</f>
        <v>0</v>
      </c>
      <c r="G2" s="172">
        <f>Bedrijfsgegevens!F2</f>
        <v>0</v>
      </c>
      <c r="H2" s="94" t="s">
        <v>12</v>
      </c>
      <c r="I2" s="318">
        <f ca="1">NOW()</f>
        <v>41611.62405960648</v>
      </c>
      <c r="J2" s="318"/>
      <c r="M2" s="207" t="s">
        <v>244</v>
      </c>
      <c r="N2" s="208">
        <f>IF(ISBLANK(F7),1,IF(F7&lt;Bedrijfsgegevens!D71-0.05,1,IF(F7&gt;Bedrijfsgegevens!D71+0.05,1," ")))</f>
        <v>1</v>
      </c>
      <c r="O2" s="209" t="str">
        <f aca="true" t="shared" si="0" ref="O2:O57">IF(N2=1,"fout"," ")</f>
        <v>fout</v>
      </c>
    </row>
    <row r="3" spans="10:15" ht="13.5" customHeight="1">
      <c r="J3" s="144" t="s">
        <v>85</v>
      </c>
      <c r="K3" s="94">
        <f>Bedrijfsgegevens!H3</f>
        <v>41611.62405960648</v>
      </c>
      <c r="L3" s="173"/>
      <c r="M3" s="207" t="s">
        <v>220</v>
      </c>
      <c r="N3" s="208">
        <f>IF(ISBLANK(G7),1,IF(G7&lt;Bedrijfsgegevens!E78-0.2,1,IF(G7&gt;Bedrijfsgegevens!E78+0.2,1," ")))</f>
        <v>1</v>
      </c>
      <c r="O3" s="209" t="str">
        <f t="shared" si="0"/>
        <v>fout</v>
      </c>
    </row>
    <row r="4" spans="6:15" ht="13.5" customHeight="1">
      <c r="F4" s="321" t="s">
        <v>141</v>
      </c>
      <c r="G4" s="321"/>
      <c r="H4" s="321"/>
      <c r="I4" s="321" t="s">
        <v>180</v>
      </c>
      <c r="J4" s="321"/>
      <c r="K4" s="321"/>
      <c r="L4" s="173"/>
      <c r="M4" s="207" t="s">
        <v>221</v>
      </c>
      <c r="N4" s="208">
        <f>IF(ISBLANK(H7),1,IF(H7&lt;F7*G7-0.5,1,IF(H7&gt;F7*G7+0.5,1," ")))</f>
        <v>1</v>
      </c>
      <c r="O4" s="209" t="str">
        <f t="shared" si="0"/>
        <v>fout</v>
      </c>
    </row>
    <row r="5" spans="2:15" ht="13.5" customHeight="1">
      <c r="B5" s="99"/>
      <c r="E5" s="99" t="s">
        <v>89</v>
      </c>
      <c r="F5" s="322" t="s">
        <v>90</v>
      </c>
      <c r="G5" s="322"/>
      <c r="H5" s="323"/>
      <c r="I5" s="322" t="s">
        <v>181</v>
      </c>
      <c r="J5" s="322"/>
      <c r="K5" s="322"/>
      <c r="L5" s="173"/>
      <c r="M5" s="207" t="s">
        <v>222</v>
      </c>
      <c r="N5" s="208">
        <f>IF(ISBLANK(F8),1,IF(F8&lt;Bedrijfsgegevens!D46/100-0.05,1,IF(F8&gt;Bedrijfsgegevens!D46+0.05,1," ")))</f>
        <v>1</v>
      </c>
      <c r="O5" s="209" t="str">
        <f t="shared" si="0"/>
        <v>fout</v>
      </c>
    </row>
    <row r="6" spans="2:15" ht="13.5" customHeight="1">
      <c r="B6" s="100" t="s">
        <v>72</v>
      </c>
      <c r="C6" s="99"/>
      <c r="D6" s="99"/>
      <c r="E6" s="101"/>
      <c r="F6" s="102" t="s">
        <v>13</v>
      </c>
      <c r="G6" s="103" t="s">
        <v>91</v>
      </c>
      <c r="H6" s="104" t="s">
        <v>92</v>
      </c>
      <c r="I6" s="105" t="s">
        <v>13</v>
      </c>
      <c r="J6" s="103" t="s">
        <v>91</v>
      </c>
      <c r="K6" s="106" t="s">
        <v>92</v>
      </c>
      <c r="L6" s="173"/>
      <c r="M6" s="207" t="s">
        <v>223</v>
      </c>
      <c r="N6" s="208">
        <f>IF(ISBLANK(G8),1,IF(G8&lt;Bedrijfsgegevens!E79-1,1,IF(G8&gt;Bedrijfsgegevens!E79+1,1," ")))</f>
        <v>1</v>
      </c>
      <c r="O6" s="209" t="str">
        <f t="shared" si="0"/>
        <v>fout</v>
      </c>
    </row>
    <row r="7" spans="2:15" ht="13.5" customHeight="1">
      <c r="B7" s="99"/>
      <c r="C7" s="107" t="s">
        <v>185</v>
      </c>
      <c r="E7" s="108"/>
      <c r="F7" s="110"/>
      <c r="G7" s="110"/>
      <c r="H7" s="275"/>
      <c r="I7" s="99"/>
      <c r="J7" s="112"/>
      <c r="K7" s="113"/>
      <c r="L7" s="173"/>
      <c r="M7" s="207" t="s">
        <v>224</v>
      </c>
      <c r="N7" s="208">
        <f>IF(ISBLANK(H8),1,IF(H8&lt;F8*G8-0.5,1,IF(H8&gt;F8*G8+0.5,1," ")))</f>
        <v>1</v>
      </c>
      <c r="O7" s="209" t="str">
        <f t="shared" si="0"/>
        <v>fout</v>
      </c>
    </row>
    <row r="8" spans="2:15" ht="13.5" customHeight="1">
      <c r="B8" s="99"/>
      <c r="C8" s="107" t="s">
        <v>94</v>
      </c>
      <c r="D8" s="107"/>
      <c r="E8" s="101"/>
      <c r="F8" s="199"/>
      <c r="G8" s="199"/>
      <c r="H8" s="276"/>
      <c r="I8" s="99"/>
      <c r="J8" s="112"/>
      <c r="K8" s="113"/>
      <c r="L8" s="173"/>
      <c r="M8" s="207" t="s">
        <v>225</v>
      </c>
      <c r="N8" s="208">
        <f>IF(ISBLANK(F9),1,IF(F9&lt;Bedrijfsgegevens!D41*Bedrijfsgegevens!D42/Bedrijfsgegevens!D34/100-0.01,1,IF(F9&gt;Bedrijfsgegevens!D41*Bedrijfsgegevens!D42/Bedrijfsgegevens!D34/100+0.01,1," ")))</f>
        <v>1</v>
      </c>
      <c r="O8" s="209" t="str">
        <f t="shared" si="0"/>
        <v>fout</v>
      </c>
    </row>
    <row r="9" spans="2:15" ht="13.5" customHeight="1">
      <c r="B9" s="99"/>
      <c r="C9" s="107" t="s">
        <v>95</v>
      </c>
      <c r="D9" s="150"/>
      <c r="E9" s="101"/>
      <c r="F9" s="199"/>
      <c r="G9" s="199"/>
      <c r="H9" s="276"/>
      <c r="I9" s="99"/>
      <c r="J9" s="112"/>
      <c r="K9" s="113"/>
      <c r="L9" s="173"/>
      <c r="M9" s="207" t="s">
        <v>226</v>
      </c>
      <c r="N9" s="208">
        <f>IF(ISBLANK(G9),1,IF(G9&lt;Bedrijfsgegevens!E80-1,1,IF(G9&gt;Bedrijfsgegevens!E80+1,1," ")))</f>
        <v>1</v>
      </c>
      <c r="O9" s="209" t="str">
        <f t="shared" si="0"/>
        <v>fout</v>
      </c>
    </row>
    <row r="10" spans="2:15" ht="13.5" customHeight="1">
      <c r="B10" s="99"/>
      <c r="C10" s="107" t="s">
        <v>96</v>
      </c>
      <c r="E10" s="101"/>
      <c r="F10" s="212"/>
      <c r="G10" s="114"/>
      <c r="H10" s="275"/>
      <c r="I10" s="99"/>
      <c r="J10" s="112"/>
      <c r="K10" s="113"/>
      <c r="L10" s="173"/>
      <c r="M10" s="207" t="s">
        <v>227</v>
      </c>
      <c r="N10" s="208">
        <f>IF(ISBLANK(H9),1,IF(H9&lt;F9*G9-0.5,1,IF(H9&gt;F9*G9+0.5,1," ")))</f>
        <v>1</v>
      </c>
      <c r="O10" s="209" t="str">
        <f t="shared" si="0"/>
        <v>fout</v>
      </c>
    </row>
    <row r="11" spans="2:15" ht="13.5" customHeight="1">
      <c r="B11" s="99"/>
      <c r="C11" s="115" t="s">
        <v>97</v>
      </c>
      <c r="E11" s="101"/>
      <c r="G11" s="116"/>
      <c r="H11" s="111"/>
      <c r="I11" s="117"/>
      <c r="J11" s="187"/>
      <c r="K11" s="187"/>
      <c r="L11" s="173"/>
      <c r="M11" s="207" t="s">
        <v>228</v>
      </c>
      <c r="N11" s="208">
        <f>IF(ISBLANK(F10),1,IF(F10&lt;Bedrijfsgegevens!D81/Bedrijfsgegevens!D34-0.0005,1,IF(F10&gt;Bedrijfsgegevens!D81/Bedrijfsgegevens!D34+0.0005,1," ")))</f>
        <v>1</v>
      </c>
      <c r="O11" s="209" t="str">
        <f t="shared" si="0"/>
        <v>fout</v>
      </c>
    </row>
    <row r="12" spans="2:15" ht="13.5" customHeight="1">
      <c r="B12" s="102"/>
      <c r="C12" s="118" t="s">
        <v>183</v>
      </c>
      <c r="D12" s="174"/>
      <c r="E12" s="119"/>
      <c r="F12" s="119"/>
      <c r="G12" s="120"/>
      <c r="H12" s="186"/>
      <c r="I12" s="102"/>
      <c r="J12" s="121"/>
      <c r="K12" s="188"/>
      <c r="L12" s="173"/>
      <c r="M12" s="207" t="s">
        <v>229</v>
      </c>
      <c r="N12" s="208">
        <f>IF(ISBLANK(G10),1,IF(G10&lt;Bedrijfsgegevens!E81-1,1,IF(G10&gt;Bedrijfsgegevens!E81+1,1," ")))</f>
        <v>1</v>
      </c>
      <c r="O12" s="209" t="str">
        <f t="shared" si="0"/>
        <v>fout</v>
      </c>
    </row>
    <row r="13" spans="3:15" ht="13.5" customHeight="1">
      <c r="C13" s="122" t="s">
        <v>98</v>
      </c>
      <c r="E13" s="123"/>
      <c r="G13" s="124"/>
      <c r="H13" s="280"/>
      <c r="I13" s="99"/>
      <c r="J13" s="99"/>
      <c r="K13" s="281"/>
      <c r="L13" s="173"/>
      <c r="M13" s="207" t="s">
        <v>230</v>
      </c>
      <c r="N13" s="208">
        <f>IF(ISBLANK(H10),1,IF(H10&lt;F10*G10-0.5,1,IF(H10&gt;F10*G10+0.5,1," ")))</f>
        <v>1</v>
      </c>
      <c r="O13" s="209" t="str">
        <f t="shared" si="0"/>
        <v>fout</v>
      </c>
    </row>
    <row r="14" spans="2:15" ht="13.5" customHeight="1">
      <c r="B14" s="99"/>
      <c r="C14" s="99"/>
      <c r="E14" s="99"/>
      <c r="F14" s="102"/>
      <c r="G14" s="125"/>
      <c r="H14" s="126"/>
      <c r="I14" s="102"/>
      <c r="J14" s="102"/>
      <c r="K14" s="127"/>
      <c r="L14" s="173"/>
      <c r="M14" s="207" t="s">
        <v>183</v>
      </c>
      <c r="N14" s="208">
        <f>IF(OR(ISBLANK(H12),ISBLANK(K12)),1,IF(H12+K12&lt;Bedrijfsgegevens!E83-0.5,1,IF(H12+K12&gt;Bedrijfsgegevens!E83+0.5,1," ")))</f>
        <v>1</v>
      </c>
      <c r="O14" s="209" t="str">
        <f t="shared" si="0"/>
        <v>fout</v>
      </c>
    </row>
    <row r="15" spans="2:15" ht="13.5" customHeight="1">
      <c r="B15" s="100" t="s">
        <v>15</v>
      </c>
      <c r="C15" s="99"/>
      <c r="E15" s="101"/>
      <c r="G15" s="128"/>
      <c r="H15" s="129"/>
      <c r="I15" s="123"/>
      <c r="J15" s="130"/>
      <c r="K15" s="131"/>
      <c r="L15" s="173"/>
      <c r="M15" s="211" t="s">
        <v>231</v>
      </c>
      <c r="N15" s="208">
        <f>IF(ISBLANK(I11),1,IF(I11&lt;Bedrijfsgegevens!H44-0.01,1,IF(I11&gt;Bedrijfsgegevens!H44+0.01,1," ")))</f>
        <v>1</v>
      </c>
      <c r="O15" s="209" t="str">
        <f t="shared" si="0"/>
        <v>fout</v>
      </c>
    </row>
    <row r="16" spans="2:15" ht="13.5" customHeight="1">
      <c r="B16" s="99" t="s">
        <v>99</v>
      </c>
      <c r="C16" s="319" t="s">
        <v>100</v>
      </c>
      <c r="D16" s="319"/>
      <c r="E16" s="320"/>
      <c r="F16" s="282"/>
      <c r="G16" s="283"/>
      <c r="H16" s="284"/>
      <c r="I16" s="99"/>
      <c r="J16" s="112"/>
      <c r="K16" s="113"/>
      <c r="L16" s="173"/>
      <c r="M16" s="211" t="s">
        <v>232</v>
      </c>
      <c r="N16" s="208">
        <f>IF(ISBLANK(J11),1,IF(J11&lt;Bedrijfsgegevens!E82-0.01,1,IF(J11&gt;Bedrijfsgegevens!E82+0.01,1," ")))</f>
        <v>1</v>
      </c>
      <c r="O16" s="209" t="str">
        <f t="shared" si="0"/>
        <v>fout</v>
      </c>
    </row>
    <row r="17" spans="2:15" ht="13.5" customHeight="1">
      <c r="B17" s="99"/>
      <c r="C17" s="319" t="s">
        <v>101</v>
      </c>
      <c r="D17" s="319"/>
      <c r="E17" s="320"/>
      <c r="F17" s="285"/>
      <c r="G17" s="283"/>
      <c r="H17" s="284"/>
      <c r="I17" s="99"/>
      <c r="J17" s="112"/>
      <c r="K17" s="113"/>
      <c r="L17" s="173"/>
      <c r="M17" s="211" t="s">
        <v>233</v>
      </c>
      <c r="N17" s="208">
        <f>IF(ISBLANK(K11),1,IF(K11&lt;I11*J11-0.1,1,IF(K11&gt;I11*J11+0.1,1," ")))</f>
        <v>1</v>
      </c>
      <c r="O17" s="209" t="str">
        <f t="shared" si="0"/>
        <v>fout</v>
      </c>
    </row>
    <row r="18" spans="2:15" ht="13.5" customHeight="1">
      <c r="B18" s="99"/>
      <c r="E18" s="101"/>
      <c r="G18" s="132"/>
      <c r="H18" s="111"/>
      <c r="I18" s="99"/>
      <c r="J18" s="133"/>
      <c r="K18" s="113"/>
      <c r="L18" s="173"/>
      <c r="M18" s="207" t="s">
        <v>234</v>
      </c>
      <c r="N18" s="208">
        <f>IF(ISBLANK(H13),1,IF(H13&lt;SUM(H7:H12)-1,1,IF(H13&gt;SUM(H7:H12)+1,1," ")))</f>
        <v>1</v>
      </c>
      <c r="O18" s="209" t="str">
        <f t="shared" si="0"/>
        <v>fout</v>
      </c>
    </row>
    <row r="19" spans="2:15" ht="13.5" customHeight="1">
      <c r="B19" s="99" t="s">
        <v>102</v>
      </c>
      <c r="C19" s="94" t="s">
        <v>103</v>
      </c>
      <c r="E19" s="101"/>
      <c r="G19" s="132"/>
      <c r="H19" s="111"/>
      <c r="I19" s="99">
        <v>1</v>
      </c>
      <c r="J19" s="283"/>
      <c r="K19" s="286"/>
      <c r="L19" s="173"/>
      <c r="M19" s="211" t="s">
        <v>235</v>
      </c>
      <c r="N19" s="208">
        <f>IF(ISBLANK(K13),1,IF(K13&lt;SUM(K11:K12)-1,1,IF(K13&gt;SUM(K11:K12)+1,1," ")))</f>
        <v>1</v>
      </c>
      <c r="O19" s="209" t="str">
        <f t="shared" si="0"/>
        <v>fout</v>
      </c>
    </row>
    <row r="20" spans="2:15" ht="13.5" customHeight="1">
      <c r="B20" s="99" t="s">
        <v>104</v>
      </c>
      <c r="C20" s="94" t="s">
        <v>93</v>
      </c>
      <c r="D20" s="94" t="s">
        <v>182</v>
      </c>
      <c r="E20" s="101" t="s">
        <v>105</v>
      </c>
      <c r="G20" s="132"/>
      <c r="H20" s="111"/>
      <c r="I20" s="99"/>
      <c r="J20" s="113"/>
      <c r="K20" s="134"/>
      <c r="L20" s="173"/>
      <c r="M20" s="207" t="s">
        <v>236</v>
      </c>
      <c r="N20" s="208">
        <f>IF(ISBLANK(F16),1,IF(F16&lt;(Bedrijfsgegevens!D41/100)-0.02,1,IF(F16&gt;(Bedrijfsgegevens!D41/100)+0.02,1," ")))</f>
        <v>1</v>
      </c>
      <c r="O20" s="209" t="str">
        <f t="shared" si="0"/>
        <v>fout</v>
      </c>
    </row>
    <row r="21" spans="2:15" ht="13.5" customHeight="1">
      <c r="B21" s="135"/>
      <c r="C21" s="136"/>
      <c r="D21" s="109">
        <f>F7</f>
        <v>0</v>
      </c>
      <c r="E21" s="137"/>
      <c r="F21" s="283"/>
      <c r="G21" s="287"/>
      <c r="H21" s="284"/>
      <c r="I21" s="99"/>
      <c r="J21" s="133"/>
      <c r="K21" s="113"/>
      <c r="L21" s="173"/>
      <c r="M21" s="207" t="s">
        <v>237</v>
      </c>
      <c r="N21" s="208">
        <f>IF(ISBLANK(G16),1,IF(G16&lt;Bedrijfsgegevens!E84-1,1,IF(G16&gt;Bedrijfsgegevens!E84+1,1," ")))</f>
        <v>1</v>
      </c>
      <c r="O21" s="209" t="str">
        <f t="shared" si="0"/>
        <v>fout</v>
      </c>
    </row>
    <row r="22" spans="2:15" ht="13.5" customHeight="1">
      <c r="B22" s="99"/>
      <c r="C22" s="94" t="s">
        <v>106</v>
      </c>
      <c r="F22" s="288"/>
      <c r="G22" s="287"/>
      <c r="H22" s="284"/>
      <c r="I22" s="99"/>
      <c r="J22" s="133"/>
      <c r="K22" s="113"/>
      <c r="L22" s="173"/>
      <c r="M22" s="207" t="s">
        <v>238</v>
      </c>
      <c r="N22" s="208">
        <f>IF(ISBLANK(H16),1,IF(H16&lt;F16*G16-1,1,IF(H16&gt;F16*G16+1,1," ")))</f>
        <v>1</v>
      </c>
      <c r="O22" s="209" t="str">
        <f t="shared" si="0"/>
        <v>fout</v>
      </c>
    </row>
    <row r="23" spans="2:15" ht="13.5" customHeight="1">
      <c r="B23" s="138"/>
      <c r="C23" s="138" t="s">
        <v>107</v>
      </c>
      <c r="D23" s="138"/>
      <c r="E23" s="138"/>
      <c r="F23" s="112"/>
      <c r="G23" s="132"/>
      <c r="H23" s="111"/>
      <c r="I23" s="289"/>
      <c r="J23" s="287"/>
      <c r="K23" s="286"/>
      <c r="L23" s="173"/>
      <c r="M23" s="207" t="s">
        <v>239</v>
      </c>
      <c r="N23" s="208">
        <f>IF(ISBLANK(F17),1,IF(F17&lt;F10-0.001,1,IF(F17&gt;F10+0.001,1," ")))</f>
        <v>1</v>
      </c>
      <c r="O23" s="209" t="str">
        <f t="shared" si="0"/>
        <v>fout</v>
      </c>
    </row>
    <row r="24" spans="2:15" ht="13.5" customHeight="1">
      <c r="B24" s="99" t="s">
        <v>108</v>
      </c>
      <c r="F24" s="112"/>
      <c r="G24" s="132"/>
      <c r="H24" s="284"/>
      <c r="I24" s="99"/>
      <c r="J24" s="133"/>
      <c r="K24" s="283"/>
      <c r="L24" s="173"/>
      <c r="M24" s="207" t="s">
        <v>240</v>
      </c>
      <c r="N24" s="208">
        <f>IF(ISBLANK(G17),1,IF(G17&lt;Bedrijfsgegevens!E85-1,1,IF(G17&gt;Bedrijfsgegevens!E85+1,1," ")))</f>
        <v>1</v>
      </c>
      <c r="O24" s="209" t="str">
        <f t="shared" si="0"/>
        <v>fout</v>
      </c>
    </row>
    <row r="25" spans="2:15" ht="12">
      <c r="B25" s="99" t="s">
        <v>109</v>
      </c>
      <c r="F25" s="112"/>
      <c r="G25" s="132"/>
      <c r="H25" s="140"/>
      <c r="I25" s="139">
        <f>K19+(0.5*(K23+K24+K26+K27+K30+K31+K32))</f>
        <v>0</v>
      </c>
      <c r="J25" s="290"/>
      <c r="K25" s="286"/>
      <c r="L25" s="173"/>
      <c r="M25" s="207" t="s">
        <v>241</v>
      </c>
      <c r="N25" s="208">
        <f>IF(ISBLANK(H17),1,IF(H17&lt;F17*G17-1,1,IF(H17&gt;F17*G17+1,1," ")))</f>
        <v>1</v>
      </c>
      <c r="O25" s="209" t="str">
        <f t="shared" si="0"/>
        <v>fout</v>
      </c>
    </row>
    <row r="26" spans="2:15" ht="13.5" customHeight="1">
      <c r="B26" s="99" t="s">
        <v>110</v>
      </c>
      <c r="F26" s="112"/>
      <c r="G26" s="132"/>
      <c r="H26" s="284"/>
      <c r="J26" s="133"/>
      <c r="K26" s="283"/>
      <c r="L26" s="173"/>
      <c r="M26" s="211" t="s">
        <v>242</v>
      </c>
      <c r="N26" s="208">
        <f>IF(OR(ISBLANK(J19),ISBLANK(K19)),1,IF(K19&lt;Bedrijfsgegevens!E86-1,1,IF(K19&gt;Bedrijfsgegevens!E86+1,1," ")))</f>
        <v>1</v>
      </c>
      <c r="O26" s="209" t="str">
        <f t="shared" si="0"/>
        <v>fout</v>
      </c>
    </row>
    <row r="27" spans="2:15" ht="13.5" customHeight="1">
      <c r="B27" s="99" t="s">
        <v>111</v>
      </c>
      <c r="F27" s="112"/>
      <c r="G27" s="132"/>
      <c r="H27" s="284"/>
      <c r="I27" s="99"/>
      <c r="J27" s="133"/>
      <c r="K27" s="113"/>
      <c r="L27" s="173"/>
      <c r="M27" s="207" t="s">
        <v>243</v>
      </c>
      <c r="N27" s="208">
        <f>IF(ISBLANK(E21),1,IF(E21&lt;Bedrijfsgegevens!E87-1,1,IF(E21&gt;Bedrijfsgegevens!E87+1,1," ")))</f>
        <v>1</v>
      </c>
      <c r="O27" s="209" t="str">
        <f t="shared" si="0"/>
        <v>fout</v>
      </c>
    </row>
    <row r="28" spans="2:15" ht="13.5" customHeight="1">
      <c r="B28" s="152"/>
      <c r="C28" s="152"/>
      <c r="D28" s="152"/>
      <c r="E28" s="152"/>
      <c r="F28" s="153"/>
      <c r="G28" s="154"/>
      <c r="H28" s="155"/>
      <c r="I28" s="99"/>
      <c r="J28" s="133"/>
      <c r="K28" s="113"/>
      <c r="L28" s="173"/>
      <c r="M28" s="207" t="s">
        <v>245</v>
      </c>
      <c r="N28" s="208">
        <f>IF(ISBLANK(F21),1,IF(F21&lt;D21*E21-1,1,IF(F21&gt;D21*E21+1,1," ")))</f>
        <v>1</v>
      </c>
      <c r="O28" s="209" t="str">
        <f t="shared" si="0"/>
        <v>fout</v>
      </c>
    </row>
    <row r="29" spans="2:15" ht="12">
      <c r="B29" s="99" t="s">
        <v>184</v>
      </c>
      <c r="C29" s="99"/>
      <c r="E29" s="286"/>
      <c r="F29" s="291"/>
      <c r="G29" s="142">
        <f>E29</f>
        <v>0</v>
      </c>
      <c r="H29" s="316"/>
      <c r="I29" s="292"/>
      <c r="J29" s="317">
        <f>E29</f>
        <v>0</v>
      </c>
      <c r="K29" s="286"/>
      <c r="L29" s="173"/>
      <c r="M29" s="207" t="s">
        <v>246</v>
      </c>
      <c r="N29" s="208">
        <f>IF(ISBLANK(G21),1,IF(G21&lt;Bedrijfsgegevens!E88/100-0.01,1,IF(G21&gt;Bedrijfsgegevens!E88/100+0.01,1," ")))</f>
        <v>1</v>
      </c>
      <c r="O29" s="209" t="str">
        <f t="shared" si="0"/>
        <v>fout</v>
      </c>
    </row>
    <row r="30" spans="2:15" ht="13.5" customHeight="1">
      <c r="B30" s="99" t="s">
        <v>112</v>
      </c>
      <c r="F30" s="112"/>
      <c r="G30" s="132"/>
      <c r="H30" s="140"/>
      <c r="I30" s="99"/>
      <c r="J30" s="133"/>
      <c r="K30" s="283"/>
      <c r="L30" s="173"/>
      <c r="M30" s="207" t="s">
        <v>247</v>
      </c>
      <c r="N30" s="208">
        <f>IF(ISBLANK(H21),1,IF(H21&lt;F21*G21-1,1,IF(H21&gt;F21*G21+1,1," ")))</f>
        <v>1</v>
      </c>
      <c r="O30" s="209" t="str">
        <f t="shared" si="0"/>
        <v>fout</v>
      </c>
    </row>
    <row r="31" spans="2:15" ht="13.5" customHeight="1">
      <c r="B31" s="99" t="s">
        <v>113</v>
      </c>
      <c r="F31" s="143"/>
      <c r="G31" s="132"/>
      <c r="H31" s="284"/>
      <c r="I31" s="99"/>
      <c r="J31" s="133"/>
      <c r="K31" s="283"/>
      <c r="L31" s="173"/>
      <c r="M31" s="207" t="s">
        <v>248</v>
      </c>
      <c r="N31" s="208">
        <f>IF(ISBLANK(F22),1,IF(F22&lt;Bedrijfsgegevens!E89-1,1,IF(F22&gt;Bedrijfsgegevens!E89+1,1," ")))</f>
        <v>1</v>
      </c>
      <c r="O31" s="209" t="str">
        <f t="shared" si="0"/>
        <v>fout</v>
      </c>
    </row>
    <row r="32" spans="2:15" ht="13.5" customHeight="1">
      <c r="B32" s="99" t="s">
        <v>114</v>
      </c>
      <c r="E32" s="144" t="s">
        <v>187</v>
      </c>
      <c r="F32" s="143"/>
      <c r="G32" s="132"/>
      <c r="H32" s="284"/>
      <c r="I32" s="99"/>
      <c r="J32" s="133"/>
      <c r="K32" s="283"/>
      <c r="L32" s="173"/>
      <c r="M32" s="207" t="s">
        <v>249</v>
      </c>
      <c r="N32" s="208">
        <f>IF(ISBLANK(G22),1,IF(G22&lt;Bedrijfsgegevens!E90/100-0.01,1,IF(G22&gt;Bedrijfsgegevens!E90/100+0.01,1," ")))</f>
        <v>1</v>
      </c>
      <c r="O32" s="209" t="str">
        <f t="shared" si="0"/>
        <v>fout</v>
      </c>
    </row>
    <row r="33" spans="5:15" ht="13.5" customHeight="1">
      <c r="E33" s="144" t="s">
        <v>188</v>
      </c>
      <c r="F33" s="143"/>
      <c r="G33" s="132"/>
      <c r="H33" s="140"/>
      <c r="I33" s="99"/>
      <c r="J33" s="133"/>
      <c r="K33" s="113"/>
      <c r="L33" s="173"/>
      <c r="M33" s="211" t="s">
        <v>268</v>
      </c>
      <c r="N33" s="208">
        <f>IF(ISBLANK(I23),1,IF(I23&lt;Bedrijfsgegevens!H37*Bedrijfsgegevens!H55-1,1,IF(I23&gt;Bedrijfsgegevens!H37*Bedrijfsgegevens!H55+1,1," ")))</f>
        <v>1</v>
      </c>
      <c r="O33" s="209" t="str">
        <f t="shared" si="0"/>
        <v>fout</v>
      </c>
    </row>
    <row r="34" spans="2:15" ht="13.5" customHeight="1">
      <c r="B34" s="102"/>
      <c r="D34" s="102"/>
      <c r="E34" s="102"/>
      <c r="F34" s="143"/>
      <c r="G34" s="145"/>
      <c r="H34" s="146"/>
      <c r="I34" s="99"/>
      <c r="J34" s="133"/>
      <c r="K34" s="121"/>
      <c r="L34" s="173"/>
      <c r="M34" s="211" t="s">
        <v>267</v>
      </c>
      <c r="N34" s="208">
        <f>IF(ISBLANK(J23),1,IF(J23&lt;Bedrijfsgegevens!E91/100-0.01,1,IF(J23&gt;Bedrijfsgegevens!E91/100+0.01,1," ")))</f>
        <v>1</v>
      </c>
      <c r="O34" s="209" t="str">
        <f t="shared" si="0"/>
        <v>fout</v>
      </c>
    </row>
    <row r="35" spans="3:15" ht="13.5" customHeight="1">
      <c r="C35" s="147" t="s">
        <v>115</v>
      </c>
      <c r="F35" s="123"/>
      <c r="G35" s="123"/>
      <c r="H35" s="284"/>
      <c r="I35" s="123"/>
      <c r="J35" s="123"/>
      <c r="K35" s="293"/>
      <c r="L35" s="173"/>
      <c r="M35" s="211" t="s">
        <v>266</v>
      </c>
      <c r="N35" s="208">
        <f>IF(ISBLANK(K23),1,IF(K23&lt;I23*J23-1,1,IF(K23&gt;I23*J23+1,1," ")))</f>
        <v>1</v>
      </c>
      <c r="O35" s="209" t="str">
        <f t="shared" si="0"/>
        <v>fout</v>
      </c>
    </row>
    <row r="36" spans="3:15" ht="13.5" customHeight="1">
      <c r="C36" s="122" t="s">
        <v>116</v>
      </c>
      <c r="D36" s="99"/>
      <c r="E36" s="94" t="s">
        <v>117</v>
      </c>
      <c r="F36" s="99"/>
      <c r="H36" s="284"/>
      <c r="I36" s="99"/>
      <c r="K36" s="286"/>
      <c r="L36" s="173"/>
      <c r="M36" s="207" t="s">
        <v>269</v>
      </c>
      <c r="N36" s="208">
        <f>IF(ISBLANK(H24),1,IF(H24&lt;Bedrijfsgegevens!E94-0.5,1,IF(H24&gt;Bedrijfsgegevens!E94+0.5,1," ")))</f>
        <v>1</v>
      </c>
      <c r="O36" s="209" t="str">
        <f t="shared" si="0"/>
        <v>fout</v>
      </c>
    </row>
    <row r="37" spans="3:15" ht="13.5" customHeight="1">
      <c r="C37" s="99" t="s">
        <v>118</v>
      </c>
      <c r="E37" s="99"/>
      <c r="K37" s="286"/>
      <c r="L37" s="173"/>
      <c r="M37" s="211" t="s">
        <v>270</v>
      </c>
      <c r="N37" s="208">
        <f>IF(ISBLANK(K24),1,IF(K24&lt;Bedrijfsgegevens!G94-0.1,1,IF(K24&gt;Bedrijfsgegevens!G94+0.1,1," ")))</f>
        <v>1</v>
      </c>
      <c r="O37" s="209" t="str">
        <f t="shared" si="0"/>
        <v>fout</v>
      </c>
    </row>
    <row r="38" spans="3:15" ht="13.5" customHeight="1">
      <c r="C38" s="122" t="s">
        <v>119</v>
      </c>
      <c r="E38" s="94" t="s">
        <v>120</v>
      </c>
      <c r="K38" s="286"/>
      <c r="L38" s="173"/>
      <c r="M38" s="211" t="s">
        <v>271</v>
      </c>
      <c r="N38" s="208">
        <f>IF(ISBLANK(J25),1,IF(J25&lt;Bedrijfsgegevens!H50-0.11,1,IF(J25&gt;Bedrijfsgegevens!H50+0.1,1," ")))</f>
        <v>1</v>
      </c>
      <c r="O38" s="209" t="str">
        <f t="shared" si="0"/>
        <v>fout</v>
      </c>
    </row>
    <row r="39" spans="2:15" ht="12">
      <c r="B39" s="166"/>
      <c r="C39" s="166"/>
      <c r="D39" s="166"/>
      <c r="E39" s="166"/>
      <c r="F39" s="166"/>
      <c r="G39" s="166"/>
      <c r="H39" s="166"/>
      <c r="I39" s="166"/>
      <c r="J39" s="166"/>
      <c r="K39" s="166"/>
      <c r="L39" s="173"/>
      <c r="M39" s="211" t="s">
        <v>272</v>
      </c>
      <c r="N39" s="208">
        <f>IF(ISBLANK(K25),1,IF(K25&lt;I25*J25/100-0.1,1,IF(K25&gt;I25*J25/100+0.1,1," ")))</f>
        <v>1</v>
      </c>
      <c r="O39" s="209" t="str">
        <f t="shared" si="0"/>
        <v>fout</v>
      </c>
    </row>
    <row r="40" spans="2:15" ht="13.5" customHeight="1">
      <c r="B40" s="166"/>
      <c r="C40" s="166"/>
      <c r="D40" s="166"/>
      <c r="E40" s="166"/>
      <c r="F40" s="166"/>
      <c r="G40" s="166"/>
      <c r="H40" s="166"/>
      <c r="I40" s="166"/>
      <c r="J40" s="166"/>
      <c r="K40" s="166"/>
      <c r="L40" s="173"/>
      <c r="M40" s="207" t="s">
        <v>274</v>
      </c>
      <c r="N40" s="208">
        <f>IF(ISBLANK(H26),1,IF(H26&lt;Bedrijfsgegevens!E95-0.5,1,IF(H26&gt;Bedrijfsgegevens!E95+0.5,1," ")))</f>
        <v>1</v>
      </c>
      <c r="O40" s="209" t="str">
        <f t="shared" si="0"/>
        <v>fout</v>
      </c>
    </row>
    <row r="41" spans="2:15" ht="13.5" customHeight="1">
      <c r="B41" s="166"/>
      <c r="C41" s="166"/>
      <c r="D41" s="166"/>
      <c r="E41" s="166"/>
      <c r="F41" s="166"/>
      <c r="G41" s="166"/>
      <c r="H41" s="166"/>
      <c r="I41" s="166"/>
      <c r="J41" s="166"/>
      <c r="K41" s="166"/>
      <c r="L41" s="173"/>
      <c r="M41" s="211" t="s">
        <v>275</v>
      </c>
      <c r="N41" s="208">
        <f>IF(ISBLANK(K26),1,IF(K26&lt;Bedrijfsgegevens!G95-0.1,1,IF(K26&gt;Bedrijfsgegevens!G95+0.1,1," ")))</f>
        <v>1</v>
      </c>
      <c r="O41" s="209" t="str">
        <f t="shared" si="0"/>
        <v>fout</v>
      </c>
    </row>
    <row r="42" spans="2:15" ht="13.5" customHeight="1">
      <c r="B42" s="166"/>
      <c r="C42" s="166"/>
      <c r="D42" s="166"/>
      <c r="E42" s="166"/>
      <c r="F42" s="166"/>
      <c r="G42" s="166"/>
      <c r="H42" s="166"/>
      <c r="I42" s="166"/>
      <c r="J42" s="166"/>
      <c r="K42" s="166"/>
      <c r="L42" s="173"/>
      <c r="M42" s="207" t="s">
        <v>250</v>
      </c>
      <c r="N42" s="208">
        <f>IF(ISBLANK(H27),1,IF(H27&lt;Bedrijfsgegevens!E96-1,1,IF(H27&gt;Bedrijfsgegevens!E96+1,1," ")))</f>
        <v>1</v>
      </c>
      <c r="O42" s="209" t="str">
        <f t="shared" si="0"/>
        <v>fout</v>
      </c>
    </row>
    <row r="43" spans="2:15" ht="13.5" customHeight="1">
      <c r="B43" s="166"/>
      <c r="C43" s="166"/>
      <c r="D43" s="166"/>
      <c r="E43" s="166"/>
      <c r="F43" s="166"/>
      <c r="G43" s="166"/>
      <c r="H43" s="166"/>
      <c r="I43" s="166"/>
      <c r="J43" s="166"/>
      <c r="K43" s="166"/>
      <c r="L43" s="173"/>
      <c r="M43" s="207" t="s">
        <v>251</v>
      </c>
      <c r="N43" s="208">
        <f>IF(ISBLANK(E29),1,IF(E29&lt;Bedrijfsgegevens!E97-0.05,1,IF(E29&gt;Bedrijfsgegevens!E97+0.05,1," ")))</f>
        <v>1</v>
      </c>
      <c r="O43" s="209" t="str">
        <f t="shared" si="0"/>
        <v>fout</v>
      </c>
    </row>
    <row r="44" spans="2:15" ht="12">
      <c r="B44" s="166"/>
      <c r="C44" s="166"/>
      <c r="D44" s="166"/>
      <c r="E44" s="166"/>
      <c r="F44" s="166"/>
      <c r="G44" s="166"/>
      <c r="H44" s="166"/>
      <c r="I44" s="166"/>
      <c r="J44" s="166"/>
      <c r="K44" s="166"/>
      <c r="L44" s="173"/>
      <c r="M44" s="207" t="s">
        <v>252</v>
      </c>
      <c r="N44" s="208">
        <f>IF(ISBLANK(F29),1,IF(F29&lt;Bedrijfsgegevens!E98-1,1,IF(F29&gt;Bedrijfsgegevens!E98+1,1," ")))</f>
        <v>1</v>
      </c>
      <c r="O44" s="209" t="str">
        <f t="shared" si="0"/>
        <v>fout</v>
      </c>
    </row>
    <row r="45" spans="2:15" ht="12">
      <c r="B45" s="166"/>
      <c r="C45" s="166"/>
      <c r="D45" s="166"/>
      <c r="E45" s="166"/>
      <c r="F45" s="166"/>
      <c r="G45" s="166"/>
      <c r="H45" s="166"/>
      <c r="I45" s="166"/>
      <c r="J45" s="166"/>
      <c r="K45" s="166"/>
      <c r="L45" s="175"/>
      <c r="M45" s="175" t="s">
        <v>253</v>
      </c>
      <c r="N45" s="208">
        <f>IF(ISBLANK(H29),1,IF(H29&lt;F29*G29/100-0.5,1,IF(H29&gt;F29*G29/100+0.5,1," ")))</f>
        <v>1</v>
      </c>
      <c r="O45" s="209" t="str">
        <f t="shared" si="0"/>
        <v>fout</v>
      </c>
    </row>
    <row r="46" spans="2:15" ht="12">
      <c r="B46" s="166"/>
      <c r="C46" s="166"/>
      <c r="D46" s="166"/>
      <c r="E46" s="166"/>
      <c r="F46" s="166"/>
      <c r="G46" s="166"/>
      <c r="H46" s="166"/>
      <c r="I46" s="166"/>
      <c r="J46" s="166"/>
      <c r="K46" s="166"/>
      <c r="L46" s="175"/>
      <c r="M46" s="213" t="s">
        <v>254</v>
      </c>
      <c r="N46" s="208">
        <f>IF(ISBLANK(I29),1,IF(I29&lt;Bedrijfsgegevens!G98-0.5,1,IF(I29&gt;Bedrijfsgegevens!G98+0.5,1," ")))</f>
        <v>1</v>
      </c>
      <c r="O46" s="209" t="str">
        <f t="shared" si="0"/>
        <v>fout</v>
      </c>
    </row>
    <row r="47" spans="2:15" ht="12">
      <c r="B47" s="166"/>
      <c r="C47" s="166"/>
      <c r="D47" s="166"/>
      <c r="E47" s="166"/>
      <c r="F47" s="166"/>
      <c r="G47" s="166"/>
      <c r="H47" s="166"/>
      <c r="I47" s="166"/>
      <c r="J47" s="166"/>
      <c r="K47" s="166"/>
      <c r="L47" s="173"/>
      <c r="M47" s="214" t="s">
        <v>255</v>
      </c>
      <c r="N47" s="208">
        <f>IF(ISBLANK(K29),1,IF(K29&lt;I29*J29/K37/100-0.5,1,IF(K29&gt;I29*J29/K37/100+0.5,1," ")))</f>
        <v>1</v>
      </c>
      <c r="O47" s="209" t="str">
        <f t="shared" si="0"/>
        <v>fout</v>
      </c>
    </row>
    <row r="48" spans="2:15" ht="12">
      <c r="B48" s="166"/>
      <c r="C48" s="166"/>
      <c r="D48" s="166"/>
      <c r="E48" s="166"/>
      <c r="F48" s="166"/>
      <c r="G48" s="166"/>
      <c r="H48" s="166"/>
      <c r="I48" s="166"/>
      <c r="J48" s="166"/>
      <c r="K48" s="166"/>
      <c r="L48" s="173"/>
      <c r="M48" s="210" t="s">
        <v>256</v>
      </c>
      <c r="N48" s="208">
        <f>IF(ISBLANK(H31),1,IF(H31&lt;Bedrijfsgegevens!E100-0.5,1,IF(H31&gt;Bedrijfsgegevens!E100+0.5,1," ")))</f>
        <v>1</v>
      </c>
      <c r="O48" s="209" t="str">
        <f t="shared" si="0"/>
        <v>fout</v>
      </c>
    </row>
    <row r="49" spans="2:15" ht="12">
      <c r="B49" s="166"/>
      <c r="C49" s="166"/>
      <c r="D49" s="166"/>
      <c r="E49" s="166"/>
      <c r="F49" s="166"/>
      <c r="G49" s="166"/>
      <c r="H49" s="166"/>
      <c r="I49" s="166"/>
      <c r="J49" s="166"/>
      <c r="K49" s="166"/>
      <c r="L49" s="173"/>
      <c r="M49" s="214" t="s">
        <v>257</v>
      </c>
      <c r="N49" s="208">
        <f>IF(ISBLANK(K31),1,IF(K31&lt;Bedrijfsgegevens!G100-0.5,1,IF(K31&gt;Bedrijfsgegevens!G100+0.5,1," ")))</f>
        <v>1</v>
      </c>
      <c r="O49" s="209" t="str">
        <f t="shared" si="0"/>
        <v>fout</v>
      </c>
    </row>
    <row r="50" spans="2:15" ht="12">
      <c r="B50" s="166"/>
      <c r="C50" s="166"/>
      <c r="D50" s="166"/>
      <c r="E50" s="166"/>
      <c r="F50" s="166"/>
      <c r="G50" s="166"/>
      <c r="H50" s="166"/>
      <c r="I50" s="166"/>
      <c r="J50" s="166"/>
      <c r="K50" s="166"/>
      <c r="L50" s="173"/>
      <c r="M50" s="210" t="s">
        <v>258</v>
      </c>
      <c r="N50" s="208">
        <f>IF(ISBLANK(H32),1,IF(H32&lt;Bedrijfsgegevens!E101-0.5,1,IF(H32&gt;Bedrijfsgegevens!E101+0.5,1," ")))</f>
        <v>1</v>
      </c>
      <c r="O50" s="209" t="str">
        <f t="shared" si="0"/>
        <v>fout</v>
      </c>
    </row>
    <row r="51" spans="2:15" ht="13.5" customHeight="1">
      <c r="B51" s="166"/>
      <c r="C51" s="166"/>
      <c r="D51" s="166"/>
      <c r="E51" s="166"/>
      <c r="F51" s="166"/>
      <c r="G51" s="166"/>
      <c r="H51" s="166"/>
      <c r="I51" s="166"/>
      <c r="J51" s="166"/>
      <c r="K51" s="166"/>
      <c r="L51" s="173"/>
      <c r="M51" s="214" t="s">
        <v>259</v>
      </c>
      <c r="N51" s="208">
        <f>IF(ISBLANK(K32),1,IF(K32&lt;Bedrijfsgegevens!G101-0.5,1,IF(K32&gt;Bedrijfsgegevens!G101+0.5,1," ")))</f>
        <v>1</v>
      </c>
      <c r="O51" s="209" t="str">
        <f t="shared" si="0"/>
        <v>fout</v>
      </c>
    </row>
    <row r="52" spans="2:15" ht="12">
      <c r="B52" s="166"/>
      <c r="C52" s="166"/>
      <c r="D52" s="166"/>
      <c r="E52" s="166"/>
      <c r="F52" s="166"/>
      <c r="G52" s="166"/>
      <c r="H52" s="166"/>
      <c r="I52" s="166"/>
      <c r="J52" s="166"/>
      <c r="K52" s="166"/>
      <c r="L52" s="176"/>
      <c r="M52" s="210" t="s">
        <v>260</v>
      </c>
      <c r="N52" s="208">
        <f>IF(ISBLANK(H35),1,IF(H35&lt;SUM(H16:H17,H21:H22,H24:H27,H29:H32)-1,1,IF(H35&gt;SUM(H16:H17,H21:H22,H24:H27,H29:H32)+1,1," ")))</f>
        <v>1</v>
      </c>
      <c r="O52" s="209" t="str">
        <f t="shared" si="0"/>
        <v>fout</v>
      </c>
    </row>
    <row r="53" spans="2:15" ht="12">
      <c r="B53" s="166"/>
      <c r="C53" s="166"/>
      <c r="D53" s="166"/>
      <c r="E53" s="166"/>
      <c r="F53" s="166"/>
      <c r="G53" s="166"/>
      <c r="H53" s="166"/>
      <c r="I53" s="166"/>
      <c r="J53" s="166"/>
      <c r="K53" s="166"/>
      <c r="L53" s="173"/>
      <c r="M53" s="210" t="s">
        <v>261</v>
      </c>
      <c r="N53" s="208">
        <f>IF(ISBLANK(H36),1,IF(H36&lt;H13-H35-1,1,IF(H36&gt;H13-H35+1,1," ")))</f>
        <v>1</v>
      </c>
      <c r="O53" s="209" t="str">
        <f t="shared" si="0"/>
        <v>fout</v>
      </c>
    </row>
    <row r="54" spans="2:15" ht="12">
      <c r="B54" s="166"/>
      <c r="C54" s="166"/>
      <c r="D54" s="166"/>
      <c r="E54" s="166"/>
      <c r="F54" s="166"/>
      <c r="G54" s="166"/>
      <c r="H54" s="166"/>
      <c r="I54" s="166"/>
      <c r="J54" s="166"/>
      <c r="K54" s="166"/>
      <c r="L54" s="173"/>
      <c r="M54" s="214" t="s">
        <v>262</v>
      </c>
      <c r="N54" s="208">
        <f>IF(ISBLANK(K35),1,IF(K35&lt;SUM(K18:K34)-0.5,1,IF(K35&gt;SUM(K18:K34)+0.5,1," ")))</f>
        <v>1</v>
      </c>
      <c r="O54" s="209" t="str">
        <f t="shared" si="0"/>
        <v>fout</v>
      </c>
    </row>
    <row r="55" spans="2:15" ht="12">
      <c r="B55" s="166"/>
      <c r="C55" s="166"/>
      <c r="D55" s="166"/>
      <c r="E55" s="166"/>
      <c r="F55" s="166"/>
      <c r="G55" s="166"/>
      <c r="H55" s="166"/>
      <c r="I55" s="166"/>
      <c r="J55" s="166"/>
      <c r="K55" s="166"/>
      <c r="L55" s="173"/>
      <c r="M55" s="214" t="s">
        <v>263</v>
      </c>
      <c r="N55" s="208">
        <f>IF(ISBLANK(K36),1,IF(K36&lt;K13-K35-1,1,IF(K36&gt;K13-K35+1,1," ")))</f>
        <v>1</v>
      </c>
      <c r="O55" s="209" t="str">
        <f t="shared" si="0"/>
        <v>fout</v>
      </c>
    </row>
    <row r="56" spans="2:15" ht="12">
      <c r="B56" s="166"/>
      <c r="C56" s="166"/>
      <c r="D56" s="166"/>
      <c r="E56" s="166"/>
      <c r="F56" s="166"/>
      <c r="G56" s="166"/>
      <c r="H56" s="166"/>
      <c r="I56" s="166"/>
      <c r="J56" s="166"/>
      <c r="K56" s="166"/>
      <c r="L56" s="173"/>
      <c r="M56" s="214" t="s">
        <v>264</v>
      </c>
      <c r="N56" s="208">
        <f>IF(ISBLANK(K37),1,IF(K37&lt;365/Bedrijfsgegevens!H55-0.05,1,IF(K37&gt;365/Bedrijfsgegevens!H55+0.05,1," ")))</f>
        <v>1</v>
      </c>
      <c r="O56" s="209" t="str">
        <f t="shared" si="0"/>
        <v>fout</v>
      </c>
    </row>
    <row r="57" spans="2:15" ht="12">
      <c r="B57" s="166"/>
      <c r="C57" s="166"/>
      <c r="D57" s="166"/>
      <c r="E57" s="166"/>
      <c r="F57" s="166"/>
      <c r="G57" s="166"/>
      <c r="H57" s="166"/>
      <c r="I57" s="166"/>
      <c r="J57" s="166"/>
      <c r="K57" s="166"/>
      <c r="L57" s="173"/>
      <c r="M57" s="214" t="s">
        <v>265</v>
      </c>
      <c r="N57" s="208">
        <f>IF(ISBLANK(K38),1,IF(K38&lt;K36*K37-1,1,IF(K38&gt;K36*K37+1,1," ")))</f>
        <v>1</v>
      </c>
      <c r="O57" s="209" t="str">
        <f t="shared" si="0"/>
        <v>fout</v>
      </c>
    </row>
    <row r="58" spans="2:15" ht="12">
      <c r="B58" s="166"/>
      <c r="C58" s="166"/>
      <c r="D58" s="166"/>
      <c r="E58" s="166"/>
      <c r="F58" s="166"/>
      <c r="G58" s="166"/>
      <c r="H58" s="166"/>
      <c r="I58" s="166"/>
      <c r="J58" s="166"/>
      <c r="K58" s="166"/>
      <c r="L58" s="173"/>
      <c r="M58" s="210"/>
      <c r="N58" s="95"/>
      <c r="O58" s="95"/>
    </row>
    <row r="59" spans="2:15" ht="13.5" customHeight="1">
      <c r="B59" s="166"/>
      <c r="C59" s="166"/>
      <c r="D59" s="166"/>
      <c r="E59" s="166"/>
      <c r="F59" s="166"/>
      <c r="G59" s="166"/>
      <c r="H59" s="166"/>
      <c r="I59" s="166"/>
      <c r="J59" s="166"/>
      <c r="K59" s="166"/>
      <c r="L59" s="96"/>
      <c r="M59" s="216" t="s">
        <v>276</v>
      </c>
      <c r="N59" s="217">
        <f>SUM(N2:N57)</f>
        <v>56</v>
      </c>
      <c r="O59" s="95"/>
    </row>
    <row r="60" spans="2:15" ht="13.5" customHeight="1">
      <c r="B60" s="166"/>
      <c r="C60" s="166"/>
      <c r="D60" s="166"/>
      <c r="E60" s="166"/>
      <c r="F60" s="166"/>
      <c r="G60" s="166"/>
      <c r="H60" s="166"/>
      <c r="I60" s="166"/>
      <c r="J60" s="166"/>
      <c r="K60" s="166"/>
      <c r="L60" s="96"/>
      <c r="M60" s="210"/>
      <c r="N60" s="95"/>
      <c r="O60" s="95"/>
    </row>
    <row r="61" spans="2:15" ht="13.5" customHeight="1">
      <c r="B61" s="95"/>
      <c r="C61" s="95"/>
      <c r="D61" s="95"/>
      <c r="E61" s="95"/>
      <c r="F61" s="95"/>
      <c r="G61" s="95"/>
      <c r="H61" s="95"/>
      <c r="I61" s="95"/>
      <c r="J61" s="96"/>
      <c r="K61" s="97"/>
      <c r="L61" s="96"/>
      <c r="M61" s="210"/>
      <c r="N61" s="95"/>
      <c r="O61" s="95"/>
    </row>
    <row r="62" spans="2:15" ht="13.5" customHeight="1">
      <c r="B62" s="95"/>
      <c r="C62" s="95"/>
      <c r="D62" s="95"/>
      <c r="E62" s="95"/>
      <c r="F62" s="95"/>
      <c r="G62" s="95"/>
      <c r="H62" s="95"/>
      <c r="I62" s="95"/>
      <c r="J62" s="96"/>
      <c r="K62" s="177"/>
      <c r="L62" s="96"/>
      <c r="M62" s="210"/>
      <c r="N62" s="95"/>
      <c r="O62" s="95"/>
    </row>
    <row r="63" spans="2:15" ht="13.5" customHeight="1">
      <c r="B63" s="95"/>
      <c r="C63" s="95"/>
      <c r="D63" s="95"/>
      <c r="E63" s="95"/>
      <c r="F63" s="95"/>
      <c r="G63" s="95"/>
      <c r="H63" s="95"/>
      <c r="I63" s="169"/>
      <c r="J63" s="95"/>
      <c r="K63" s="97"/>
      <c r="L63" s="96"/>
      <c r="M63" s="210"/>
      <c r="N63" s="95"/>
      <c r="O63" s="95"/>
    </row>
    <row r="64" spans="2:15" ht="20.25" customHeight="1">
      <c r="B64" s="169"/>
      <c r="C64" s="95"/>
      <c r="D64" s="169"/>
      <c r="E64" s="95"/>
      <c r="F64" s="95"/>
      <c r="G64" s="95"/>
      <c r="H64" s="95"/>
      <c r="I64" s="95"/>
      <c r="J64" s="95"/>
      <c r="K64" s="97"/>
      <c r="L64" s="96"/>
      <c r="M64" s="210"/>
      <c r="N64" s="95"/>
      <c r="O64" s="95"/>
    </row>
    <row r="65" spans="2:15" ht="20.25" customHeight="1">
      <c r="B65" s="169"/>
      <c r="C65" s="95"/>
      <c r="D65" s="169"/>
      <c r="E65" s="95"/>
      <c r="F65" s="95"/>
      <c r="G65" s="95"/>
      <c r="H65" s="95"/>
      <c r="I65" s="95"/>
      <c r="J65" s="95"/>
      <c r="K65" s="97"/>
      <c r="L65" s="96"/>
      <c r="M65" s="210"/>
      <c r="N65" s="95"/>
      <c r="O65" s="95"/>
    </row>
    <row r="66" spans="2:14" ht="10.5">
      <c r="B66" s="95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210"/>
      <c r="N66" s="95"/>
    </row>
    <row r="67" spans="2:14" ht="10.5"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210"/>
      <c r="N67" s="95"/>
    </row>
    <row r="68" spans="2:14" ht="10.5">
      <c r="B68" s="95"/>
      <c r="C68" s="169"/>
      <c r="D68" s="95"/>
      <c r="E68" s="95"/>
      <c r="F68" s="95"/>
      <c r="G68" s="178"/>
      <c r="H68" s="95"/>
      <c r="I68" s="95"/>
      <c r="J68" s="95"/>
      <c r="K68" s="95"/>
      <c r="L68" s="95"/>
      <c r="M68" s="210"/>
      <c r="N68" s="95"/>
    </row>
    <row r="69" spans="2:14" ht="10.5">
      <c r="B69" s="95"/>
      <c r="C69" s="95"/>
      <c r="D69" s="179"/>
      <c r="E69" s="95"/>
      <c r="F69" s="95"/>
      <c r="G69" s="178"/>
      <c r="H69" s="95"/>
      <c r="I69" s="95"/>
      <c r="J69" s="95"/>
      <c r="K69" s="95"/>
      <c r="L69" s="95"/>
      <c r="M69" s="210"/>
      <c r="N69" s="95"/>
    </row>
    <row r="70" spans="2:14" ht="10.5">
      <c r="B70" s="95"/>
      <c r="C70" s="95"/>
      <c r="D70" s="179"/>
      <c r="E70" s="177"/>
      <c r="F70" s="95"/>
      <c r="G70" s="178"/>
      <c r="H70" s="95"/>
      <c r="I70" s="95"/>
      <c r="J70" s="95"/>
      <c r="K70" s="95"/>
      <c r="L70" s="95"/>
      <c r="M70" s="210"/>
      <c r="N70" s="95"/>
    </row>
    <row r="71" spans="2:14" ht="10.5">
      <c r="B71" s="95"/>
      <c r="C71" s="95"/>
      <c r="D71" s="169"/>
      <c r="E71" s="177"/>
      <c r="F71" s="169"/>
      <c r="G71" s="95"/>
      <c r="H71" s="178"/>
      <c r="I71" s="95"/>
      <c r="J71" s="95"/>
      <c r="K71" s="95"/>
      <c r="L71" s="95"/>
      <c r="M71" s="210"/>
      <c r="N71" s="95"/>
    </row>
    <row r="72" spans="2:14" ht="10.5">
      <c r="B72" s="95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210"/>
      <c r="N72" s="95"/>
    </row>
    <row r="73" spans="2:14" ht="10.5">
      <c r="B73" s="95"/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210"/>
      <c r="N73" s="95"/>
    </row>
    <row r="74" spans="2:14" ht="10.5">
      <c r="B74" s="95"/>
      <c r="C74" s="95"/>
      <c r="D74" s="95"/>
      <c r="E74" s="181"/>
      <c r="F74" s="182"/>
      <c r="G74" s="183"/>
      <c r="H74" s="95"/>
      <c r="I74" s="95"/>
      <c r="J74" s="95"/>
      <c r="K74" s="95"/>
      <c r="L74" s="95"/>
      <c r="M74" s="210"/>
      <c r="N74" s="95"/>
    </row>
    <row r="75" spans="2:14" ht="10.5">
      <c r="B75" s="95"/>
      <c r="C75" s="95"/>
      <c r="D75" s="95"/>
      <c r="E75" s="96"/>
      <c r="F75" s="184"/>
      <c r="G75" s="183"/>
      <c r="H75" s="95"/>
      <c r="I75" s="95"/>
      <c r="J75" s="95"/>
      <c r="K75" s="95"/>
      <c r="L75" s="95"/>
      <c r="M75" s="210"/>
      <c r="N75" s="95"/>
    </row>
    <row r="76" spans="2:14" ht="10.5">
      <c r="B76" s="95"/>
      <c r="C76" s="95"/>
      <c r="D76" s="95"/>
      <c r="E76" s="181"/>
      <c r="F76" s="182"/>
      <c r="G76" s="183"/>
      <c r="H76" s="95"/>
      <c r="I76" s="95"/>
      <c r="J76" s="95"/>
      <c r="K76" s="95"/>
      <c r="L76" s="95"/>
      <c r="M76" s="210"/>
      <c r="N76" s="95"/>
    </row>
    <row r="77" spans="2:15" ht="10.5">
      <c r="B77" s="95"/>
      <c r="C77" s="95"/>
      <c r="D77" s="95"/>
      <c r="E77" s="96"/>
      <c r="F77" s="185"/>
      <c r="G77" s="183"/>
      <c r="H77" s="95"/>
      <c r="I77" s="95"/>
      <c r="J77" s="95"/>
      <c r="K77" s="95"/>
      <c r="L77" s="95"/>
      <c r="M77" s="210"/>
      <c r="N77" s="95"/>
      <c r="O77" s="180"/>
    </row>
    <row r="78" spans="2:15" ht="10.5">
      <c r="B78" s="95"/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210"/>
      <c r="N78" s="95"/>
      <c r="O78" s="180"/>
    </row>
    <row r="79" spans="2:14" ht="10.5">
      <c r="B79" s="95"/>
      <c r="C79" s="169"/>
      <c r="D79" s="95"/>
      <c r="E79" s="95"/>
      <c r="F79" s="95"/>
      <c r="G79" s="95"/>
      <c r="H79" s="95"/>
      <c r="I79" s="95"/>
      <c r="J79" s="95"/>
      <c r="K79" s="95"/>
      <c r="L79" s="95"/>
      <c r="M79" s="210"/>
      <c r="N79" s="95"/>
    </row>
    <row r="80" spans="2:14" ht="10.5">
      <c r="B80" s="95"/>
      <c r="C80" s="169"/>
      <c r="D80" s="95"/>
      <c r="E80" s="96"/>
      <c r="F80" s="179"/>
      <c r="G80" s="95"/>
      <c r="H80" s="95"/>
      <c r="I80" s="95"/>
      <c r="J80" s="95"/>
      <c r="K80" s="95"/>
      <c r="L80" s="95"/>
      <c r="M80" s="210"/>
      <c r="N80" s="95"/>
    </row>
    <row r="81" spans="2:14" ht="10.5">
      <c r="B81" s="95"/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210"/>
      <c r="N81" s="95"/>
    </row>
    <row r="82" spans="2:14" ht="10.5">
      <c r="B82" s="95"/>
      <c r="C82" s="95"/>
      <c r="D82" s="95"/>
      <c r="E82" s="95"/>
      <c r="F82" s="95"/>
      <c r="G82" s="95"/>
      <c r="H82" s="95"/>
      <c r="I82" s="95"/>
      <c r="J82" s="95"/>
      <c r="K82" s="95"/>
      <c r="L82" s="95"/>
      <c r="M82" s="210"/>
      <c r="N82" s="95"/>
    </row>
    <row r="83" spans="2:14" ht="10.5">
      <c r="B83" s="95"/>
      <c r="C83" s="169"/>
      <c r="D83" s="95"/>
      <c r="E83" s="96"/>
      <c r="F83" s="96"/>
      <c r="G83" s="95"/>
      <c r="H83" s="95"/>
      <c r="I83" s="95"/>
      <c r="J83" s="95"/>
      <c r="K83" s="95"/>
      <c r="L83" s="95"/>
      <c r="M83" s="210"/>
      <c r="N83" s="95"/>
    </row>
    <row r="84" spans="2:14" ht="10.5">
      <c r="B84" s="95"/>
      <c r="C84" s="169"/>
      <c r="D84" s="95"/>
      <c r="E84" s="177"/>
      <c r="F84" s="178"/>
      <c r="G84" s="95"/>
      <c r="H84" s="95"/>
      <c r="I84" s="95"/>
      <c r="J84" s="95"/>
      <c r="K84" s="95"/>
      <c r="L84" s="95"/>
      <c r="M84" s="210"/>
      <c r="N84" s="95"/>
    </row>
    <row r="85" spans="2:14" ht="10.5">
      <c r="B85" s="95"/>
      <c r="C85" s="169"/>
      <c r="D85" s="95"/>
      <c r="E85" s="177"/>
      <c r="F85" s="178"/>
      <c r="G85" s="95"/>
      <c r="H85" s="95"/>
      <c r="I85" s="95"/>
      <c r="J85" s="95"/>
      <c r="K85" s="95"/>
      <c r="L85" s="95"/>
      <c r="M85" s="210"/>
      <c r="N85" s="95"/>
    </row>
    <row r="86" spans="2:14" ht="10.5">
      <c r="B86" s="95"/>
      <c r="C86" s="95"/>
      <c r="D86" s="95"/>
      <c r="E86" s="95"/>
      <c r="F86" s="95"/>
      <c r="G86" s="95"/>
      <c r="H86" s="95"/>
      <c r="I86" s="95"/>
      <c r="J86" s="95"/>
      <c r="K86" s="95"/>
      <c r="L86" s="95"/>
      <c r="M86" s="210"/>
      <c r="N86" s="95"/>
    </row>
    <row r="87" spans="2:14" ht="10.5">
      <c r="B87" s="95"/>
      <c r="C87" s="95"/>
      <c r="D87" s="95"/>
      <c r="E87" s="95"/>
      <c r="F87" s="95"/>
      <c r="G87" s="95"/>
      <c r="H87" s="95"/>
      <c r="I87" s="95"/>
      <c r="J87" s="95"/>
      <c r="K87" s="95"/>
      <c r="L87" s="95"/>
      <c r="M87" s="210"/>
      <c r="N87" s="95"/>
    </row>
    <row r="88" spans="2:14" ht="10.5">
      <c r="B88" s="166"/>
      <c r="C88" s="166"/>
      <c r="D88" s="166"/>
      <c r="E88" s="166"/>
      <c r="F88" s="166"/>
      <c r="G88" s="166"/>
      <c r="H88" s="166"/>
      <c r="I88" s="166"/>
      <c r="J88" s="166"/>
      <c r="K88" s="166"/>
      <c r="M88" s="210"/>
      <c r="N88" s="95"/>
    </row>
    <row r="89" spans="2:14" ht="10.5">
      <c r="B89" s="166"/>
      <c r="C89" s="166"/>
      <c r="D89" s="166"/>
      <c r="E89" s="166"/>
      <c r="F89" s="166"/>
      <c r="G89" s="166"/>
      <c r="H89" s="166"/>
      <c r="I89" s="166"/>
      <c r="J89" s="166"/>
      <c r="K89" s="166"/>
      <c r="M89" s="210"/>
      <c r="N89" s="95"/>
    </row>
    <row r="90" spans="2:14" ht="10.5">
      <c r="B90" s="166"/>
      <c r="C90" s="166"/>
      <c r="D90" s="166"/>
      <c r="E90" s="166"/>
      <c r="F90" s="166"/>
      <c r="G90" s="166"/>
      <c r="H90" s="166"/>
      <c r="I90" s="166"/>
      <c r="J90" s="166"/>
      <c r="K90" s="166"/>
      <c r="M90" s="210"/>
      <c r="N90" s="95"/>
    </row>
    <row r="91" spans="2:14" ht="10.5">
      <c r="B91" s="166"/>
      <c r="C91" s="166"/>
      <c r="D91" s="166"/>
      <c r="E91" s="166"/>
      <c r="F91" s="166"/>
      <c r="G91" s="166"/>
      <c r="H91" s="166"/>
      <c r="I91" s="166"/>
      <c r="J91" s="166"/>
      <c r="K91" s="166"/>
      <c r="M91" s="210"/>
      <c r="N91" s="95"/>
    </row>
    <row r="92" spans="2:14" ht="10.5">
      <c r="B92" s="166"/>
      <c r="C92" s="166"/>
      <c r="D92" s="166"/>
      <c r="E92" s="166"/>
      <c r="F92" s="166"/>
      <c r="G92" s="166"/>
      <c r="H92" s="166"/>
      <c r="I92" s="166"/>
      <c r="J92" s="166"/>
      <c r="K92" s="166"/>
      <c r="M92" s="210"/>
      <c r="N92" s="95"/>
    </row>
    <row r="93" spans="2:14" ht="10.5">
      <c r="B93" s="166"/>
      <c r="C93" s="166"/>
      <c r="D93" s="166"/>
      <c r="E93" s="166"/>
      <c r="F93" s="166"/>
      <c r="G93" s="166"/>
      <c r="H93" s="166"/>
      <c r="I93" s="166"/>
      <c r="J93" s="166"/>
      <c r="K93" s="166"/>
      <c r="M93" s="210"/>
      <c r="N93" s="95"/>
    </row>
    <row r="94" spans="2:14" ht="10.5">
      <c r="B94" s="166"/>
      <c r="C94" s="166"/>
      <c r="D94" s="166"/>
      <c r="E94" s="166"/>
      <c r="F94" s="166"/>
      <c r="G94" s="166"/>
      <c r="H94" s="166"/>
      <c r="I94" s="166"/>
      <c r="J94" s="166"/>
      <c r="K94" s="166"/>
      <c r="M94" s="210"/>
      <c r="N94" s="95"/>
    </row>
    <row r="95" spans="2:13" ht="10.5">
      <c r="B95" s="166"/>
      <c r="C95" s="166"/>
      <c r="D95" s="166"/>
      <c r="E95" s="166"/>
      <c r="F95" s="166"/>
      <c r="G95" s="166"/>
      <c r="H95" s="166"/>
      <c r="I95" s="166"/>
      <c r="J95" s="166"/>
      <c r="K95" s="166"/>
      <c r="M95" s="210"/>
    </row>
    <row r="96" spans="2:13" ht="10.5">
      <c r="B96" s="166"/>
      <c r="C96" s="166"/>
      <c r="D96" s="166"/>
      <c r="E96" s="166"/>
      <c r="F96" s="166"/>
      <c r="G96" s="166"/>
      <c r="H96" s="166"/>
      <c r="I96" s="166"/>
      <c r="J96" s="166"/>
      <c r="K96" s="166"/>
      <c r="M96" s="210"/>
    </row>
    <row r="97" spans="2:13" ht="10.5">
      <c r="B97" s="166"/>
      <c r="C97" s="166"/>
      <c r="D97" s="166"/>
      <c r="E97" s="166"/>
      <c r="F97" s="166"/>
      <c r="G97" s="166"/>
      <c r="H97" s="166"/>
      <c r="I97" s="166"/>
      <c r="J97" s="166"/>
      <c r="K97" s="166"/>
      <c r="M97" s="210"/>
    </row>
    <row r="98" spans="2:13" ht="10.5">
      <c r="B98" s="166"/>
      <c r="C98" s="166"/>
      <c r="D98" s="166"/>
      <c r="E98" s="166"/>
      <c r="F98" s="166"/>
      <c r="G98" s="166"/>
      <c r="H98" s="166"/>
      <c r="I98" s="166"/>
      <c r="J98" s="166"/>
      <c r="K98" s="166"/>
      <c r="M98" s="210"/>
    </row>
    <row r="99" spans="2:13" ht="10.5">
      <c r="B99" s="166"/>
      <c r="C99" s="166"/>
      <c r="D99" s="166"/>
      <c r="E99" s="166"/>
      <c r="F99" s="166"/>
      <c r="G99" s="166"/>
      <c r="H99" s="166"/>
      <c r="I99" s="166"/>
      <c r="J99" s="166"/>
      <c r="K99" s="166"/>
      <c r="M99" s="210"/>
    </row>
    <row r="100" spans="2:13" ht="10.5">
      <c r="B100" s="166"/>
      <c r="C100" s="166"/>
      <c r="D100" s="166"/>
      <c r="E100" s="166"/>
      <c r="F100" s="166"/>
      <c r="G100" s="166"/>
      <c r="H100" s="166"/>
      <c r="I100" s="166"/>
      <c r="J100" s="166"/>
      <c r="K100" s="166"/>
      <c r="M100" s="210"/>
    </row>
    <row r="101" spans="2:13" ht="10.5">
      <c r="B101" s="166"/>
      <c r="C101" s="166"/>
      <c r="D101" s="166"/>
      <c r="E101" s="166"/>
      <c r="F101" s="166"/>
      <c r="G101" s="166"/>
      <c r="H101" s="166"/>
      <c r="I101" s="166"/>
      <c r="J101" s="166"/>
      <c r="K101" s="166"/>
      <c r="M101" s="210"/>
    </row>
    <row r="102" spans="2:13" ht="10.5">
      <c r="B102" s="166"/>
      <c r="C102" s="166"/>
      <c r="D102" s="166"/>
      <c r="E102" s="166"/>
      <c r="F102" s="166"/>
      <c r="G102" s="166"/>
      <c r="H102" s="166"/>
      <c r="I102" s="166"/>
      <c r="J102" s="166"/>
      <c r="K102" s="166"/>
      <c r="M102" s="210"/>
    </row>
    <row r="103" spans="2:13" ht="10.5">
      <c r="B103" s="166"/>
      <c r="C103" s="166"/>
      <c r="D103" s="166"/>
      <c r="E103" s="166"/>
      <c r="F103" s="166"/>
      <c r="G103" s="166"/>
      <c r="H103" s="166"/>
      <c r="I103" s="166"/>
      <c r="J103" s="166"/>
      <c r="K103" s="166"/>
      <c r="M103" s="210"/>
    </row>
    <row r="104" spans="2:13" ht="10.5">
      <c r="B104" s="166"/>
      <c r="C104" s="166"/>
      <c r="D104" s="166"/>
      <c r="E104" s="166"/>
      <c r="F104" s="166"/>
      <c r="G104" s="166"/>
      <c r="H104" s="166"/>
      <c r="I104" s="166"/>
      <c r="J104" s="166"/>
      <c r="K104" s="166"/>
      <c r="M104" s="210"/>
    </row>
    <row r="105" spans="2:13" ht="10.5">
      <c r="B105" s="166"/>
      <c r="C105" s="166"/>
      <c r="D105" s="166"/>
      <c r="E105" s="166"/>
      <c r="F105" s="166"/>
      <c r="G105" s="166"/>
      <c r="H105" s="166"/>
      <c r="I105" s="166"/>
      <c r="J105" s="166"/>
      <c r="K105" s="166"/>
      <c r="M105" s="210"/>
    </row>
    <row r="106" spans="2:13" ht="10.5">
      <c r="B106" s="166"/>
      <c r="C106" s="166"/>
      <c r="D106" s="166"/>
      <c r="E106" s="166"/>
      <c r="F106" s="166"/>
      <c r="G106" s="166"/>
      <c r="H106" s="166"/>
      <c r="I106" s="166"/>
      <c r="J106" s="166"/>
      <c r="K106" s="166"/>
      <c r="M106" s="210"/>
    </row>
    <row r="107" spans="2:13" ht="10.5">
      <c r="B107" s="166"/>
      <c r="C107" s="166"/>
      <c r="D107" s="166"/>
      <c r="E107" s="166"/>
      <c r="F107" s="166"/>
      <c r="G107" s="166"/>
      <c r="H107" s="166"/>
      <c r="I107" s="166"/>
      <c r="J107" s="166"/>
      <c r="K107" s="166"/>
      <c r="M107" s="210"/>
    </row>
    <row r="108" spans="2:13" ht="10.5">
      <c r="B108" s="166"/>
      <c r="C108" s="166"/>
      <c r="D108" s="166"/>
      <c r="E108" s="166"/>
      <c r="F108" s="166"/>
      <c r="G108" s="166"/>
      <c r="H108" s="166"/>
      <c r="I108" s="166"/>
      <c r="J108" s="166"/>
      <c r="K108" s="166"/>
      <c r="M108" s="210"/>
    </row>
    <row r="109" spans="2:13" ht="10.5">
      <c r="B109" s="166"/>
      <c r="C109" s="166"/>
      <c r="D109" s="166"/>
      <c r="E109" s="166"/>
      <c r="F109" s="166"/>
      <c r="G109" s="166"/>
      <c r="H109" s="166"/>
      <c r="I109" s="166"/>
      <c r="J109" s="166"/>
      <c r="K109" s="166"/>
      <c r="M109" s="210"/>
    </row>
    <row r="110" spans="2:13" ht="10.5">
      <c r="B110" s="166"/>
      <c r="C110" s="166"/>
      <c r="D110" s="166"/>
      <c r="E110" s="166"/>
      <c r="F110" s="166"/>
      <c r="G110" s="166"/>
      <c r="H110" s="166"/>
      <c r="I110" s="166"/>
      <c r="J110" s="166"/>
      <c r="K110" s="166"/>
      <c r="M110" s="210"/>
    </row>
    <row r="111" spans="2:13" ht="10.5">
      <c r="B111" s="166"/>
      <c r="C111" s="166"/>
      <c r="D111" s="166"/>
      <c r="E111" s="166"/>
      <c r="F111" s="166"/>
      <c r="G111" s="166"/>
      <c r="H111" s="166"/>
      <c r="I111" s="166"/>
      <c r="J111" s="166"/>
      <c r="K111" s="166"/>
      <c r="M111" s="210"/>
    </row>
    <row r="112" spans="2:13" ht="10.5">
      <c r="B112" s="166"/>
      <c r="C112" s="166"/>
      <c r="D112" s="166"/>
      <c r="E112" s="166"/>
      <c r="F112" s="166"/>
      <c r="G112" s="166"/>
      <c r="H112" s="166"/>
      <c r="I112" s="166"/>
      <c r="J112" s="166"/>
      <c r="K112" s="166"/>
      <c r="M112" s="210"/>
    </row>
    <row r="113" spans="2:13" ht="10.5">
      <c r="B113" s="166"/>
      <c r="C113" s="166"/>
      <c r="D113" s="166"/>
      <c r="E113" s="166"/>
      <c r="F113" s="166"/>
      <c r="G113" s="166"/>
      <c r="H113" s="166"/>
      <c r="I113" s="166"/>
      <c r="J113" s="166"/>
      <c r="K113" s="166"/>
      <c r="M113" s="210"/>
    </row>
    <row r="114" spans="2:13" ht="10.5">
      <c r="B114" s="166"/>
      <c r="C114" s="166"/>
      <c r="D114" s="166"/>
      <c r="E114" s="166"/>
      <c r="F114" s="166"/>
      <c r="G114" s="166"/>
      <c r="H114" s="166"/>
      <c r="I114" s="166"/>
      <c r="J114" s="166"/>
      <c r="K114" s="166"/>
      <c r="M114" s="210"/>
    </row>
    <row r="115" spans="2:13" ht="10.5">
      <c r="B115" s="166"/>
      <c r="C115" s="166"/>
      <c r="D115" s="166"/>
      <c r="E115" s="166"/>
      <c r="F115" s="166"/>
      <c r="G115" s="166"/>
      <c r="H115" s="166"/>
      <c r="I115" s="166"/>
      <c r="J115" s="166"/>
      <c r="K115" s="166"/>
      <c r="M115" s="210"/>
    </row>
    <row r="116" spans="2:13" ht="10.5">
      <c r="B116" s="166"/>
      <c r="C116" s="166"/>
      <c r="D116" s="166"/>
      <c r="E116" s="166"/>
      <c r="F116" s="166"/>
      <c r="G116" s="166"/>
      <c r="H116" s="166"/>
      <c r="I116" s="166"/>
      <c r="J116" s="166"/>
      <c r="K116" s="166"/>
      <c r="M116" s="210"/>
    </row>
    <row r="117" spans="2:13" ht="10.5">
      <c r="B117" s="166"/>
      <c r="C117" s="166"/>
      <c r="D117" s="166"/>
      <c r="E117" s="166"/>
      <c r="F117" s="166"/>
      <c r="G117" s="166"/>
      <c r="H117" s="166"/>
      <c r="I117" s="166"/>
      <c r="J117" s="166"/>
      <c r="K117" s="166"/>
      <c r="M117" s="210"/>
    </row>
    <row r="118" spans="2:13" ht="10.5">
      <c r="B118" s="166"/>
      <c r="C118" s="166"/>
      <c r="D118" s="166"/>
      <c r="E118" s="166"/>
      <c r="F118" s="166"/>
      <c r="G118" s="166"/>
      <c r="H118" s="166"/>
      <c r="I118" s="166"/>
      <c r="J118" s="166"/>
      <c r="K118" s="166"/>
      <c r="M118" s="210"/>
    </row>
    <row r="119" spans="2:13" ht="10.5">
      <c r="B119" s="166"/>
      <c r="C119" s="166"/>
      <c r="D119" s="166"/>
      <c r="E119" s="166"/>
      <c r="F119" s="166"/>
      <c r="G119" s="166"/>
      <c r="H119" s="166"/>
      <c r="I119" s="166"/>
      <c r="J119" s="166"/>
      <c r="K119" s="166"/>
      <c r="M119" s="210"/>
    </row>
    <row r="120" ht="10.5">
      <c r="M120" s="210"/>
    </row>
    <row r="121" ht="10.5">
      <c r="M121" s="210"/>
    </row>
    <row r="122" ht="10.5">
      <c r="M122" s="210"/>
    </row>
    <row r="123" ht="10.5">
      <c r="M123" s="210"/>
    </row>
    <row r="124" ht="10.5">
      <c r="M124" s="210"/>
    </row>
    <row r="125" ht="10.5">
      <c r="M125" s="210"/>
    </row>
    <row r="126" ht="10.5">
      <c r="M126" s="210"/>
    </row>
    <row r="127" ht="10.5">
      <c r="M127" s="210"/>
    </row>
    <row r="128" ht="10.5">
      <c r="M128" s="210"/>
    </row>
    <row r="129" ht="10.5">
      <c r="M129" s="210"/>
    </row>
    <row r="130" ht="10.5">
      <c r="M130" s="210"/>
    </row>
    <row r="131" ht="10.5">
      <c r="M131" s="210"/>
    </row>
    <row r="132" ht="10.5">
      <c r="M132" s="210"/>
    </row>
    <row r="133" ht="10.5">
      <c r="M133" s="210"/>
    </row>
    <row r="134" ht="10.5">
      <c r="M134" s="210"/>
    </row>
    <row r="135" ht="10.5">
      <c r="M135" s="210"/>
    </row>
    <row r="136" ht="10.5">
      <c r="M136" s="210"/>
    </row>
    <row r="137" ht="10.5">
      <c r="M137" s="210"/>
    </row>
    <row r="138" ht="10.5">
      <c r="M138" s="210"/>
    </row>
    <row r="139" ht="10.5">
      <c r="M139" s="210"/>
    </row>
    <row r="140" ht="10.5">
      <c r="M140" s="210"/>
    </row>
    <row r="141" ht="10.5">
      <c r="M141" s="210"/>
    </row>
    <row r="142" ht="10.5">
      <c r="M142" s="210"/>
    </row>
    <row r="143" ht="10.5">
      <c r="M143" s="210"/>
    </row>
    <row r="144" ht="10.5">
      <c r="M144" s="210"/>
    </row>
    <row r="145" ht="10.5">
      <c r="M145" s="210"/>
    </row>
    <row r="146" ht="10.5">
      <c r="M146" s="210"/>
    </row>
    <row r="147" ht="10.5">
      <c r="M147" s="210"/>
    </row>
    <row r="148" ht="10.5">
      <c r="M148" s="210"/>
    </row>
    <row r="149" ht="10.5">
      <c r="M149" s="210"/>
    </row>
    <row r="150" ht="10.5">
      <c r="M150" s="210"/>
    </row>
    <row r="151" ht="10.5">
      <c r="M151" s="210"/>
    </row>
    <row r="152" ht="10.5">
      <c r="M152" s="210"/>
    </row>
    <row r="153" ht="10.5">
      <c r="M153" s="210"/>
    </row>
    <row r="154" ht="10.5">
      <c r="M154" s="210"/>
    </row>
    <row r="155" ht="10.5">
      <c r="M155" s="210"/>
    </row>
  </sheetData>
  <sheetProtection/>
  <mergeCells count="7">
    <mergeCell ref="I2:J2"/>
    <mergeCell ref="C16:E16"/>
    <mergeCell ref="C17:E17"/>
    <mergeCell ref="I4:K4"/>
    <mergeCell ref="I5:K5"/>
    <mergeCell ref="F4:H4"/>
    <mergeCell ref="F5:H5"/>
  </mergeCells>
  <printOptions/>
  <pageMargins left="0.75" right="0.4" top="0.53" bottom="0.38" header="0.5" footer="0.4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489"/>
  <sheetViews>
    <sheetView zoomScale="85" zoomScaleNormal="85" zoomScalePageLayoutView="0" workbookViewId="0" topLeftCell="A1">
      <selection activeCell="F7" sqref="F7"/>
    </sheetView>
  </sheetViews>
  <sheetFormatPr defaultColWidth="9.140625" defaultRowHeight="12.75"/>
  <cols>
    <col min="1" max="1" width="2.57421875" style="189" customWidth="1"/>
    <col min="2" max="2" width="10.7109375" style="190" customWidth="1"/>
    <col min="3" max="3" width="6.140625" style="190" customWidth="1"/>
    <col min="4" max="4" width="7.00390625" style="190" customWidth="1"/>
    <col min="5" max="5" width="6.140625" style="190" customWidth="1"/>
    <col min="6" max="6" width="7.421875" style="190" customWidth="1"/>
    <col min="7" max="7" width="9.28125" style="190" customWidth="1"/>
    <col min="8" max="8" width="6.8515625" style="190" customWidth="1"/>
    <col min="9" max="9" width="7.140625" style="190" customWidth="1"/>
    <col min="10" max="10" width="6.140625" style="190" customWidth="1"/>
    <col min="11" max="11" width="9.28125" style="190" customWidth="1"/>
    <col min="12" max="12" width="5.8515625" style="15" customWidth="1"/>
    <col min="13" max="13" width="6.421875" style="15" bestFit="1" customWidth="1"/>
    <col min="14" max="14" width="5.421875" style="15" bestFit="1" customWidth="1"/>
    <col min="15" max="15" width="7.421875" style="15" bestFit="1" customWidth="1"/>
    <col min="16" max="16" width="4.421875" style="15" bestFit="1" customWidth="1"/>
    <col min="17" max="17" width="6.421875" style="15" bestFit="1" customWidth="1"/>
    <col min="18" max="18" width="6.7109375" style="190" bestFit="1" customWidth="1"/>
    <col min="19" max="19" width="9.00390625" style="15" customWidth="1"/>
    <col min="20" max="33" width="9.140625" style="189" customWidth="1"/>
    <col min="34" max="16384" width="9.140625" style="190" customWidth="1"/>
  </cols>
  <sheetData>
    <row r="1" spans="2:19" ht="10.5">
      <c r="B1" s="168" t="s">
        <v>11</v>
      </c>
      <c r="C1" s="189"/>
      <c r="D1" s="189"/>
      <c r="E1" s="189"/>
      <c r="F1" s="189"/>
      <c r="G1" s="168" t="s">
        <v>192</v>
      </c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</row>
    <row r="2" spans="2:19" ht="12.75">
      <c r="B2" s="237" t="s">
        <v>57</v>
      </c>
      <c r="C2" s="87" t="str">
        <f>Bedrijfsgegevens!C3</f>
        <v>Naam leerling</v>
      </c>
      <c r="D2" s="238"/>
      <c r="E2" s="238"/>
      <c r="F2" s="18"/>
      <c r="G2" s="43"/>
      <c r="H2" s="4"/>
      <c r="I2" s="4"/>
      <c r="J2" s="18" t="s">
        <v>83</v>
      </c>
      <c r="K2" s="88">
        <f>Bedrijfsgegevens!H3</f>
        <v>41611.62405960648</v>
      </c>
      <c r="L2" s="98"/>
      <c r="M2" s="3"/>
      <c r="N2" s="26" t="s">
        <v>84</v>
      </c>
      <c r="O2" s="329" t="str">
        <f>Bedrijfsgegevens!G4</f>
        <v>oefentoets</v>
      </c>
      <c r="P2" s="329"/>
      <c r="Q2" s="3"/>
      <c r="R2" s="4"/>
      <c r="S2" s="4"/>
    </row>
    <row r="3" spans="2:19" ht="10.5">
      <c r="B3" s="3"/>
      <c r="C3" s="15"/>
      <c r="D3" s="4"/>
      <c r="E3" s="4"/>
      <c r="F3" s="18"/>
      <c r="G3" s="41"/>
      <c r="H3" s="11"/>
      <c r="I3" s="11"/>
      <c r="J3" s="18"/>
      <c r="K3" s="18"/>
      <c r="L3" s="18"/>
      <c r="M3" s="18"/>
      <c r="P3" s="3"/>
      <c r="Q3" s="4"/>
      <c r="R3" s="4"/>
      <c r="S3" s="4"/>
    </row>
    <row r="4" spans="2:19" ht="10.5">
      <c r="B4" s="36" t="s">
        <v>21</v>
      </c>
      <c r="C4" s="4"/>
      <c r="D4" s="4"/>
      <c r="E4" s="4"/>
      <c r="F4" s="44" t="s">
        <v>17</v>
      </c>
      <c r="G4" s="45"/>
      <c r="H4" s="46" t="s">
        <v>353</v>
      </c>
      <c r="I4" s="47"/>
      <c r="J4" s="47"/>
      <c r="K4" s="46"/>
      <c r="L4" s="330" t="s">
        <v>22</v>
      </c>
      <c r="M4" s="330"/>
      <c r="N4" s="18"/>
      <c r="R4" s="4"/>
      <c r="S4" s="4"/>
    </row>
    <row r="5" spans="2:19" ht="10.5">
      <c r="B5" s="43"/>
      <c r="C5" s="15"/>
      <c r="D5" s="4"/>
      <c r="E5" s="11"/>
      <c r="F5" s="277" t="s">
        <v>344</v>
      </c>
      <c r="G5" s="48" t="s">
        <v>342</v>
      </c>
      <c r="H5" s="49"/>
      <c r="I5" s="50"/>
      <c r="J5" s="51"/>
      <c r="K5" s="52" t="s">
        <v>18</v>
      </c>
      <c r="L5" s="52" t="s">
        <v>23</v>
      </c>
      <c r="M5" s="53" t="s">
        <v>18</v>
      </c>
      <c r="R5" s="4"/>
      <c r="S5" s="4"/>
    </row>
    <row r="6" spans="2:19" ht="10.5">
      <c r="B6" s="16"/>
      <c r="C6" s="17"/>
      <c r="D6" s="17"/>
      <c r="E6" s="17"/>
      <c r="F6" s="278" t="s">
        <v>345</v>
      </c>
      <c r="G6" s="55" t="s">
        <v>343</v>
      </c>
      <c r="H6" s="56"/>
      <c r="I6" s="57" t="s">
        <v>341</v>
      </c>
      <c r="J6" s="58"/>
      <c r="K6" s="55" t="s">
        <v>19</v>
      </c>
      <c r="L6" s="55" t="s">
        <v>24</v>
      </c>
      <c r="M6" s="54" t="s">
        <v>16</v>
      </c>
      <c r="R6" s="4"/>
      <c r="S6" s="4"/>
    </row>
    <row r="7" spans="2:19" ht="10.5">
      <c r="B7" s="239" t="s">
        <v>189</v>
      </c>
      <c r="C7" s="18"/>
      <c r="D7" s="18"/>
      <c r="E7" s="240"/>
      <c r="F7" s="294"/>
      <c r="G7" s="295"/>
      <c r="H7" s="334">
        <f>G7*F7</f>
        <v>0</v>
      </c>
      <c r="I7" s="335"/>
      <c r="J7" s="336"/>
      <c r="K7" s="296"/>
      <c r="L7" s="297"/>
      <c r="M7" s="298"/>
      <c r="R7" s="4"/>
      <c r="S7" s="4"/>
    </row>
    <row r="8" spans="2:19" ht="10.5">
      <c r="B8" s="18" t="s">
        <v>97</v>
      </c>
      <c r="C8" s="18"/>
      <c r="D8" s="18"/>
      <c r="E8" s="240"/>
      <c r="F8" s="294"/>
      <c r="G8" s="295"/>
      <c r="H8" s="337"/>
      <c r="I8" s="338"/>
      <c r="J8" s="339"/>
      <c r="K8" s="295"/>
      <c r="L8" s="299"/>
      <c r="M8" s="298"/>
      <c r="R8" s="4"/>
      <c r="S8" s="4"/>
    </row>
    <row r="9" spans="2:19" ht="10.5">
      <c r="B9" s="241"/>
      <c r="C9" s="4"/>
      <c r="D9" s="6"/>
      <c r="E9" s="240"/>
      <c r="F9" s="242"/>
      <c r="G9" s="243"/>
      <c r="H9" s="340"/>
      <c r="I9" s="341"/>
      <c r="J9" s="342"/>
      <c r="K9" s="37"/>
      <c r="L9" s="244"/>
      <c r="M9" s="245"/>
      <c r="R9" s="4"/>
      <c r="S9" s="3"/>
    </row>
    <row r="10" spans="2:19" ht="10.5">
      <c r="B10" s="35" t="s">
        <v>25</v>
      </c>
      <c r="C10" s="30"/>
      <c r="D10" s="30"/>
      <c r="E10" s="30"/>
      <c r="F10" s="30"/>
      <c r="G10" s="30"/>
      <c r="H10" s="30"/>
      <c r="I10" s="30"/>
      <c r="J10" s="60" t="s">
        <v>26</v>
      </c>
      <c r="K10" s="33">
        <f>SUM(K7:K9)</f>
        <v>0</v>
      </c>
      <c r="L10" s="40"/>
      <c r="M10" s="61"/>
      <c r="N10" s="18"/>
      <c r="O10" s="18"/>
      <c r="P10" s="18"/>
      <c r="Q10" s="18"/>
      <c r="R10" s="6" t="s">
        <v>74</v>
      </c>
      <c r="S10" s="4"/>
    </row>
    <row r="11" spans="2:19" ht="10.5">
      <c r="B11" s="18"/>
      <c r="C11" s="18"/>
      <c r="D11" s="18"/>
      <c r="E11" s="18"/>
      <c r="F11" s="18"/>
      <c r="G11" s="18"/>
      <c r="H11" s="18"/>
      <c r="I11" s="18"/>
      <c r="J11" s="27"/>
      <c r="K11" s="18"/>
      <c r="L11" s="40"/>
      <c r="M11" s="61"/>
      <c r="N11" s="18"/>
      <c r="O11" s="18"/>
      <c r="P11" s="18"/>
      <c r="Q11" s="18"/>
      <c r="R11" s="6" t="s">
        <v>75</v>
      </c>
      <c r="S11" s="6" t="s">
        <v>20</v>
      </c>
    </row>
    <row r="12" spans="2:19" ht="10.5">
      <c r="B12" s="18"/>
      <c r="C12" s="18"/>
      <c r="D12" s="18"/>
      <c r="E12" s="18"/>
      <c r="F12" s="18"/>
      <c r="G12" s="24" t="s">
        <v>27</v>
      </c>
      <c r="H12" s="333" t="s">
        <v>28</v>
      </c>
      <c r="I12" s="333"/>
      <c r="J12" s="333"/>
      <c r="K12" s="18"/>
      <c r="L12" s="343" t="s">
        <v>22</v>
      </c>
      <c r="M12" s="344"/>
      <c r="N12" s="331" t="s">
        <v>29</v>
      </c>
      <c r="O12" s="332"/>
      <c r="P12" s="331" t="s">
        <v>73</v>
      </c>
      <c r="Q12" s="332"/>
      <c r="R12" s="6" t="s">
        <v>77</v>
      </c>
      <c r="S12" s="10" t="s">
        <v>79</v>
      </c>
    </row>
    <row r="13" spans="2:19" ht="10.5">
      <c r="B13" s="16" t="s">
        <v>30</v>
      </c>
      <c r="C13" s="17"/>
      <c r="D13" s="17"/>
      <c r="E13" s="17"/>
      <c r="F13" s="17"/>
      <c r="G13" s="62" t="s">
        <v>14</v>
      </c>
      <c r="H13" s="63" t="s">
        <v>31</v>
      </c>
      <c r="I13" s="63" t="s">
        <v>32</v>
      </c>
      <c r="J13" s="63" t="s">
        <v>33</v>
      </c>
      <c r="K13" s="64" t="s">
        <v>16</v>
      </c>
      <c r="L13" s="39" t="s">
        <v>34</v>
      </c>
      <c r="M13" s="65" t="s">
        <v>16</v>
      </c>
      <c r="N13" s="66" t="s">
        <v>34</v>
      </c>
      <c r="O13" s="66" t="s">
        <v>16</v>
      </c>
      <c r="P13" s="64" t="s">
        <v>34</v>
      </c>
      <c r="Q13" s="66" t="s">
        <v>16</v>
      </c>
      <c r="R13" s="246" t="s">
        <v>76</v>
      </c>
      <c r="S13" s="246" t="s">
        <v>78</v>
      </c>
    </row>
    <row r="14" spans="2:19" ht="10.5">
      <c r="B14" s="18" t="s">
        <v>35</v>
      </c>
      <c r="C14" s="18"/>
      <c r="D14" s="18"/>
      <c r="E14" s="18"/>
      <c r="F14" s="19"/>
      <c r="G14" s="300"/>
      <c r="H14" s="20"/>
      <c r="I14" s="301"/>
      <c r="J14" s="20"/>
      <c r="K14" s="345"/>
      <c r="L14" s="40"/>
      <c r="M14" s="67"/>
      <c r="N14" s="68"/>
      <c r="O14" s="61"/>
      <c r="P14" s="67"/>
      <c r="Q14" s="69"/>
      <c r="R14" s="4"/>
      <c r="S14" s="4"/>
    </row>
    <row r="15" spans="2:19" ht="10.5">
      <c r="B15" s="18" t="s">
        <v>36</v>
      </c>
      <c r="C15" s="18"/>
      <c r="D15" s="18"/>
      <c r="E15" s="18"/>
      <c r="F15" s="18"/>
      <c r="G15" s="20"/>
      <c r="H15" s="20"/>
      <c r="I15" s="20"/>
      <c r="J15" s="20"/>
      <c r="K15" s="345"/>
      <c r="L15" s="40"/>
      <c r="M15" s="70"/>
      <c r="N15" s="68"/>
      <c r="O15" s="61"/>
      <c r="P15" s="67"/>
      <c r="Q15" s="61"/>
      <c r="R15" s="4"/>
      <c r="S15" s="4"/>
    </row>
    <row r="16" spans="2:19" ht="10.5">
      <c r="B16" s="18" t="s">
        <v>37</v>
      </c>
      <c r="C16" s="18"/>
      <c r="D16" s="18"/>
      <c r="E16" s="18"/>
      <c r="F16" s="23"/>
      <c r="G16" s="304"/>
      <c r="H16" s="20"/>
      <c r="I16" s="303"/>
      <c r="J16" s="247"/>
      <c r="K16" s="345"/>
      <c r="L16" s="248"/>
      <c r="M16" s="28"/>
      <c r="N16" s="249"/>
      <c r="O16" s="21"/>
      <c r="P16" s="28"/>
      <c r="Q16" s="21"/>
      <c r="R16" s="4"/>
      <c r="S16" s="4"/>
    </row>
    <row r="17" spans="2:19" ht="10.5">
      <c r="B17" s="18" t="s">
        <v>38</v>
      </c>
      <c r="C17" s="18"/>
      <c r="D17" s="307"/>
      <c r="E17" s="24" t="s">
        <v>351</v>
      </c>
      <c r="F17" s="306"/>
      <c r="G17" s="305"/>
      <c r="H17" s="20"/>
      <c r="I17" s="304"/>
      <c r="J17" s="247"/>
      <c r="K17" s="345"/>
      <c r="L17" s="302"/>
      <c r="M17" s="310"/>
      <c r="N17" s="249"/>
      <c r="O17" s="21"/>
      <c r="P17" s="28"/>
      <c r="Q17" s="21"/>
      <c r="R17" s="4"/>
      <c r="S17" s="345"/>
    </row>
    <row r="18" spans="2:19" ht="10.5">
      <c r="B18" s="18" t="s">
        <v>39</v>
      </c>
      <c r="C18" s="18"/>
      <c r="D18" s="308"/>
      <c r="E18" s="71"/>
      <c r="F18" s="306"/>
      <c r="G18" s="304"/>
      <c r="H18" s="20"/>
      <c r="I18" s="304"/>
      <c r="J18" s="247"/>
      <c r="K18" s="345"/>
      <c r="L18" s="302"/>
      <c r="M18" s="310"/>
      <c r="N18" s="249"/>
      <c r="O18" s="21"/>
      <c r="P18" s="28"/>
      <c r="Q18" s="21"/>
      <c r="R18" s="4"/>
      <c r="S18" s="345"/>
    </row>
    <row r="19" spans="1:33" s="15" customFormat="1" ht="10.5">
      <c r="A19" s="189"/>
      <c r="B19" s="18" t="s">
        <v>40</v>
      </c>
      <c r="C19" s="72" t="s">
        <v>41</v>
      </c>
      <c r="D19" s="72" t="s">
        <v>352</v>
      </c>
      <c r="E19" s="250"/>
      <c r="F19" s="251" t="s">
        <v>42</v>
      </c>
      <c r="G19" s="33"/>
      <c r="H19" s="20"/>
      <c r="I19" s="247"/>
      <c r="J19" s="247"/>
      <c r="K19" s="33"/>
      <c r="L19" s="252"/>
      <c r="M19" s="28"/>
      <c r="N19" s="249"/>
      <c r="O19" s="21"/>
      <c r="P19" s="28"/>
      <c r="Q19" s="21"/>
      <c r="R19" s="11"/>
      <c r="S19" s="253"/>
      <c r="T19" s="189"/>
      <c r="U19" s="189"/>
      <c r="V19" s="189"/>
      <c r="W19" s="189"/>
      <c r="X19" s="189"/>
      <c r="Y19" s="189"/>
      <c r="Z19" s="189"/>
      <c r="AA19" s="189"/>
      <c r="AB19" s="189"/>
      <c r="AC19" s="189"/>
      <c r="AD19" s="189"/>
      <c r="AE19" s="189"/>
      <c r="AF19" s="189"/>
      <c r="AG19" s="189"/>
    </row>
    <row r="20" spans="2:20" ht="10.5">
      <c r="B20" s="18"/>
      <c r="C20" s="308"/>
      <c r="D20" s="308"/>
      <c r="E20" s="254"/>
      <c r="F20" s="309"/>
      <c r="G20" s="295"/>
      <c r="H20" s="304"/>
      <c r="I20" s="304"/>
      <c r="J20" s="304"/>
      <c r="K20" s="345"/>
      <c r="L20" s="302"/>
      <c r="M20" s="310"/>
      <c r="N20" s="302"/>
      <c r="O20" s="311"/>
      <c r="P20" s="314"/>
      <c r="Q20" s="311"/>
      <c r="R20" s="312"/>
      <c r="S20" s="345"/>
      <c r="T20" s="168" t="str">
        <f>IF(K20=0," ",IF(OR((F20+R20)*H20&lt;99,(F20+R20)*H20&gt;100),"afschrijvings% klopt niet met de totale levensduur"," "))</f>
        <v> </v>
      </c>
    </row>
    <row r="21" spans="2:19" ht="10.5">
      <c r="B21" s="18" t="s">
        <v>354</v>
      </c>
      <c r="C21" s="18"/>
      <c r="D21" s="18"/>
      <c r="E21" s="18"/>
      <c r="F21" s="18"/>
      <c r="G21" s="295"/>
      <c r="H21" s="304"/>
      <c r="I21" s="304"/>
      <c r="J21" s="255"/>
      <c r="K21" s="345"/>
      <c r="L21" s="302"/>
      <c r="M21" s="310"/>
      <c r="N21" s="302"/>
      <c r="O21" s="311"/>
      <c r="P21" s="22"/>
      <c r="Q21" s="21"/>
      <c r="R21" s="4"/>
      <c r="S21" s="345"/>
    </row>
    <row r="22" spans="2:19" ht="10.5">
      <c r="B22" s="18" t="s">
        <v>190</v>
      </c>
      <c r="C22" s="18"/>
      <c r="D22" s="18"/>
      <c r="E22" s="18"/>
      <c r="F22" s="18"/>
      <c r="G22" s="243"/>
      <c r="H22" s="20"/>
      <c r="I22" s="256"/>
      <c r="J22" s="247"/>
      <c r="K22" s="345"/>
      <c r="L22" s="252"/>
      <c r="M22" s="28"/>
      <c r="N22" s="252"/>
      <c r="O22" s="21"/>
      <c r="P22" s="22"/>
      <c r="Q22" s="21"/>
      <c r="R22" s="11"/>
      <c r="S22" s="257"/>
    </row>
    <row r="23" spans="2:19" ht="10.5">
      <c r="B23" s="18" t="s">
        <v>191</v>
      </c>
      <c r="C23" s="18"/>
      <c r="D23" s="18"/>
      <c r="E23" s="18"/>
      <c r="F23" s="251" t="s">
        <v>42</v>
      </c>
      <c r="G23" s="73"/>
      <c r="H23" s="20"/>
      <c r="I23" s="247"/>
      <c r="J23" s="247"/>
      <c r="K23" s="74"/>
      <c r="L23" s="252"/>
      <c r="M23" s="28"/>
      <c r="N23" s="252"/>
      <c r="O23" s="21"/>
      <c r="P23" s="22"/>
      <c r="Q23" s="21"/>
      <c r="R23" s="11"/>
      <c r="S23" s="257"/>
    </row>
    <row r="24" spans="2:20" ht="10.5">
      <c r="B24" s="218" t="str">
        <f>Bedrijfsgegevens!B116</f>
        <v>gebouwen fokzeugen</v>
      </c>
      <c r="C24" s="228"/>
      <c r="D24" s="258"/>
      <c r="E24" s="18"/>
      <c r="F24" s="313"/>
      <c r="G24" s="301"/>
      <c r="H24" s="304"/>
      <c r="I24" s="304"/>
      <c r="J24" s="308"/>
      <c r="K24" s="345"/>
      <c r="L24" s="302"/>
      <c r="M24" s="345"/>
      <c r="N24" s="302"/>
      <c r="O24" s="345"/>
      <c r="P24" s="314"/>
      <c r="Q24" s="345"/>
      <c r="R24" s="312"/>
      <c r="S24" s="345"/>
      <c r="T24" s="168" t="str">
        <f aca="true" t="shared" si="0" ref="T24:T29">IF(K24=0," ",IF(OR((F24+R24)*H24&lt;99,(F24+R24)*H24&gt;100),"afschrijvings% klopt niet met de totale levensduur"," "))</f>
        <v> </v>
      </c>
    </row>
    <row r="25" spans="2:20" ht="10.5">
      <c r="B25" s="218">
        <f>Bedrijfsgegevens!B117</f>
        <v>0</v>
      </c>
      <c r="C25" s="228"/>
      <c r="D25" s="258"/>
      <c r="E25" s="18"/>
      <c r="F25" s="313"/>
      <c r="G25" s="301"/>
      <c r="H25" s="304"/>
      <c r="I25" s="304"/>
      <c r="J25" s="308"/>
      <c r="K25" s="345"/>
      <c r="L25" s="302"/>
      <c r="M25" s="345"/>
      <c r="N25" s="302"/>
      <c r="O25" s="345"/>
      <c r="P25" s="314"/>
      <c r="Q25" s="345"/>
      <c r="R25" s="312"/>
      <c r="S25" s="345"/>
      <c r="T25" s="168" t="str">
        <f t="shared" si="0"/>
        <v> </v>
      </c>
    </row>
    <row r="26" spans="2:20" ht="10.5">
      <c r="B26" s="218">
        <f>Bedrijfsgegevens!B118</f>
        <v>0</v>
      </c>
      <c r="C26" s="228"/>
      <c r="D26" s="258"/>
      <c r="E26" s="18"/>
      <c r="F26" s="313"/>
      <c r="G26" s="301"/>
      <c r="H26" s="304"/>
      <c r="I26" s="304"/>
      <c r="J26" s="308"/>
      <c r="K26" s="345"/>
      <c r="L26" s="302"/>
      <c r="M26" s="345"/>
      <c r="N26" s="302"/>
      <c r="O26" s="345"/>
      <c r="P26" s="314"/>
      <c r="Q26" s="345"/>
      <c r="R26" s="312"/>
      <c r="S26" s="345"/>
      <c r="T26" s="168" t="str">
        <f t="shared" si="0"/>
        <v> </v>
      </c>
    </row>
    <row r="27" spans="2:20" ht="10.5">
      <c r="B27" s="218">
        <f>Bedrijfsgegevens!B119</f>
        <v>0</v>
      </c>
      <c r="C27" s="228"/>
      <c r="D27" s="258"/>
      <c r="E27" s="18"/>
      <c r="F27" s="313"/>
      <c r="G27" s="301"/>
      <c r="H27" s="304"/>
      <c r="I27" s="304"/>
      <c r="J27" s="308"/>
      <c r="K27" s="345"/>
      <c r="L27" s="302"/>
      <c r="M27" s="345"/>
      <c r="N27" s="302"/>
      <c r="O27" s="345"/>
      <c r="P27" s="314"/>
      <c r="Q27" s="345"/>
      <c r="R27" s="312"/>
      <c r="S27" s="345"/>
      <c r="T27" s="168" t="str">
        <f t="shared" si="0"/>
        <v> </v>
      </c>
    </row>
    <row r="28" spans="2:20" ht="10.5">
      <c r="B28" s="218">
        <f>Bedrijfsgegevens!B120</f>
        <v>0</v>
      </c>
      <c r="C28" s="279"/>
      <c r="D28" s="259"/>
      <c r="E28" s="151"/>
      <c r="F28" s="313"/>
      <c r="G28" s="301"/>
      <c r="H28" s="304"/>
      <c r="I28" s="304"/>
      <c r="J28" s="308"/>
      <c r="K28" s="345"/>
      <c r="L28" s="302"/>
      <c r="M28" s="345"/>
      <c r="N28" s="302"/>
      <c r="O28" s="345"/>
      <c r="P28" s="314"/>
      <c r="Q28" s="345"/>
      <c r="R28" s="312"/>
      <c r="S28" s="345"/>
      <c r="T28" s="168" t="str">
        <f t="shared" si="0"/>
        <v> </v>
      </c>
    </row>
    <row r="29" spans="2:20" ht="10.5">
      <c r="B29" s="218" t="str">
        <f>Bedrijfsgegevens!B121</f>
        <v>gebouwen vleesvarkens</v>
      </c>
      <c r="C29" s="228"/>
      <c r="D29" s="258"/>
      <c r="E29" s="18"/>
      <c r="F29" s="313"/>
      <c r="G29" s="301"/>
      <c r="H29" s="304"/>
      <c r="I29" s="304"/>
      <c r="J29" s="308"/>
      <c r="K29" s="345"/>
      <c r="L29" s="302"/>
      <c r="M29" s="345"/>
      <c r="N29" s="302"/>
      <c r="O29" s="345"/>
      <c r="P29" s="314"/>
      <c r="Q29" s="345"/>
      <c r="R29" s="312"/>
      <c r="S29" s="345"/>
      <c r="T29" s="168" t="str">
        <f t="shared" si="0"/>
        <v> </v>
      </c>
    </row>
    <row r="30" spans="2:20" ht="10.5">
      <c r="B30" s="218">
        <f>Bedrijfsgegevens!B122</f>
        <v>0</v>
      </c>
      <c r="C30" s="228"/>
      <c r="D30" s="258"/>
      <c r="E30" s="18"/>
      <c r="F30" s="313"/>
      <c r="G30" s="301"/>
      <c r="H30" s="304"/>
      <c r="I30" s="304"/>
      <c r="J30" s="308"/>
      <c r="K30" s="345"/>
      <c r="L30" s="302"/>
      <c r="M30" s="345"/>
      <c r="N30" s="302"/>
      <c r="O30" s="345"/>
      <c r="P30" s="314"/>
      <c r="Q30" s="345"/>
      <c r="R30" s="312"/>
      <c r="S30" s="345"/>
      <c r="T30" s="168"/>
    </row>
    <row r="31" spans="2:20" ht="10.5">
      <c r="B31" s="218">
        <f>Bedrijfsgegevens!B123</f>
        <v>0</v>
      </c>
      <c r="C31" s="228"/>
      <c r="D31" s="258"/>
      <c r="E31" s="18"/>
      <c r="F31" s="313"/>
      <c r="G31" s="301"/>
      <c r="H31" s="304"/>
      <c r="I31" s="304"/>
      <c r="J31" s="308"/>
      <c r="K31" s="345"/>
      <c r="L31" s="302"/>
      <c r="M31" s="345"/>
      <c r="N31" s="302"/>
      <c r="O31" s="345"/>
      <c r="P31" s="314"/>
      <c r="Q31" s="345"/>
      <c r="R31" s="312"/>
      <c r="S31" s="345"/>
      <c r="T31" s="168"/>
    </row>
    <row r="32" spans="2:20" ht="10.5">
      <c r="B32" s="218">
        <f>Bedrijfsgegevens!B124</f>
        <v>0</v>
      </c>
      <c r="C32" s="228"/>
      <c r="D32" s="258"/>
      <c r="E32" s="18"/>
      <c r="F32" s="313"/>
      <c r="G32" s="301"/>
      <c r="H32" s="304"/>
      <c r="I32" s="304"/>
      <c r="J32" s="308"/>
      <c r="K32" s="345"/>
      <c r="L32" s="302"/>
      <c r="M32" s="345"/>
      <c r="N32" s="302"/>
      <c r="O32" s="345"/>
      <c r="P32" s="314"/>
      <c r="Q32" s="345"/>
      <c r="R32" s="312"/>
      <c r="S32" s="345"/>
      <c r="T32" s="168"/>
    </row>
    <row r="33" spans="2:20" ht="10.5">
      <c r="B33" s="218">
        <f>Bedrijfsgegevens!B125</f>
        <v>0</v>
      </c>
      <c r="C33" s="228"/>
      <c r="D33" s="258"/>
      <c r="E33" s="18"/>
      <c r="F33" s="313"/>
      <c r="G33" s="301"/>
      <c r="H33" s="304"/>
      <c r="I33" s="304"/>
      <c r="J33" s="308"/>
      <c r="K33" s="345"/>
      <c r="L33" s="302"/>
      <c r="M33" s="345"/>
      <c r="N33" s="302"/>
      <c r="O33" s="345"/>
      <c r="P33" s="314"/>
      <c r="Q33" s="345"/>
      <c r="R33" s="312"/>
      <c r="S33" s="345"/>
      <c r="T33" s="168" t="str">
        <f>IF(K33=0," ",IF(OR((F33+R33)*H33&lt;99,(F33+R33)*H33&gt;100),"afschrijvings% klopt niet met de totale levensduur"," "))</f>
        <v> </v>
      </c>
    </row>
    <row r="34" spans="1:33" s="15" customFormat="1" ht="10.5">
      <c r="A34" s="189"/>
      <c r="B34" s="18" t="s">
        <v>43</v>
      </c>
      <c r="C34" s="18"/>
      <c r="D34" s="18"/>
      <c r="E34" s="18"/>
      <c r="F34" s="18"/>
      <c r="G34" s="301"/>
      <c r="H34" s="304"/>
      <c r="I34" s="304"/>
      <c r="J34" s="308"/>
      <c r="K34" s="345"/>
      <c r="L34" s="302"/>
      <c r="M34" s="345"/>
      <c r="N34" s="302"/>
      <c r="O34" s="345"/>
      <c r="P34" s="314"/>
      <c r="Q34" s="345"/>
      <c r="R34" s="4"/>
      <c r="S34" s="345"/>
      <c r="T34" s="189"/>
      <c r="U34" s="189"/>
      <c r="V34" s="189"/>
      <c r="W34" s="189"/>
      <c r="X34" s="189"/>
      <c r="Y34" s="189"/>
      <c r="Z34" s="189"/>
      <c r="AA34" s="189"/>
      <c r="AB34" s="189"/>
      <c r="AC34" s="189"/>
      <c r="AD34" s="189"/>
      <c r="AE34" s="189"/>
      <c r="AF34" s="189"/>
      <c r="AG34" s="189"/>
    </row>
    <row r="35" spans="1:33" s="15" customFormat="1" ht="10.5">
      <c r="A35" s="189"/>
      <c r="B35" s="18" t="s">
        <v>86</v>
      </c>
      <c r="C35" s="18"/>
      <c r="D35" s="18"/>
      <c r="E35" s="18"/>
      <c r="F35" s="18"/>
      <c r="G35" s="33"/>
      <c r="H35" s="76"/>
      <c r="I35" s="260"/>
      <c r="J35" s="247"/>
      <c r="K35" s="345"/>
      <c r="L35" s="248"/>
      <c r="M35" s="21"/>
      <c r="N35" s="248"/>
      <c r="O35" s="21"/>
      <c r="P35" s="28"/>
      <c r="Q35" s="21"/>
      <c r="R35" s="11"/>
      <c r="S35" s="4"/>
      <c r="T35" s="189"/>
      <c r="U35" s="189"/>
      <c r="V35" s="189"/>
      <c r="W35" s="189"/>
      <c r="X35" s="189"/>
      <c r="Y35" s="189"/>
      <c r="Z35" s="189"/>
      <c r="AA35" s="189"/>
      <c r="AB35" s="189"/>
      <c r="AC35" s="189"/>
      <c r="AD35" s="189"/>
      <c r="AE35" s="189"/>
      <c r="AF35" s="189"/>
      <c r="AG35" s="189"/>
    </row>
    <row r="36" spans="2:19" ht="10.5">
      <c r="B36" s="18" t="s">
        <v>61</v>
      </c>
      <c r="C36" s="18"/>
      <c r="D36" s="18"/>
      <c r="E36" s="18"/>
      <c r="F36" s="18"/>
      <c r="G36" s="59"/>
      <c r="H36" s="20"/>
      <c r="I36" s="247"/>
      <c r="J36" s="247"/>
      <c r="K36" s="345"/>
      <c r="L36" s="248"/>
      <c r="M36" s="21"/>
      <c r="N36" s="248"/>
      <c r="O36" s="21"/>
      <c r="P36" s="28"/>
      <c r="Q36" s="21"/>
      <c r="R36" s="11"/>
      <c r="S36" s="4"/>
    </row>
    <row r="37" spans="2:19" ht="10.5">
      <c r="B37" s="18" t="s">
        <v>87</v>
      </c>
      <c r="C37" s="18"/>
      <c r="D37" s="18"/>
      <c r="E37" s="9"/>
      <c r="F37" s="77"/>
      <c r="G37" s="78"/>
      <c r="H37" s="75"/>
      <c r="I37" s="247"/>
      <c r="J37" s="247"/>
      <c r="K37" s="345"/>
      <c r="L37" s="248"/>
      <c r="M37" s="21"/>
      <c r="N37" s="248"/>
      <c r="O37" s="21"/>
      <c r="P37" s="28"/>
      <c r="Q37" s="21"/>
      <c r="R37" s="11"/>
      <c r="S37" s="4"/>
    </row>
    <row r="38" spans="2:19" ht="10.5">
      <c r="B38" s="18" t="s">
        <v>46</v>
      </c>
      <c r="C38" s="18"/>
      <c r="D38" s="18"/>
      <c r="E38" s="18"/>
      <c r="F38" s="23"/>
      <c r="G38" s="315"/>
      <c r="H38" s="20"/>
      <c r="I38" s="303"/>
      <c r="J38" s="247"/>
      <c r="K38" s="345"/>
      <c r="L38" s="248"/>
      <c r="M38" s="21"/>
      <c r="N38" s="248"/>
      <c r="O38" s="21"/>
      <c r="P38" s="28"/>
      <c r="Q38" s="21"/>
      <c r="R38" s="11"/>
      <c r="S38" s="253"/>
    </row>
    <row r="39" spans="2:19" ht="10.5">
      <c r="B39" s="18" t="s">
        <v>47</v>
      </c>
      <c r="C39" s="18"/>
      <c r="D39" s="18"/>
      <c r="E39" s="18"/>
      <c r="F39" s="23"/>
      <c r="G39" s="315"/>
      <c r="H39" s="20"/>
      <c r="I39" s="303"/>
      <c r="J39" s="247"/>
      <c r="K39" s="345"/>
      <c r="L39" s="40"/>
      <c r="M39" s="21"/>
      <c r="N39" s="248"/>
      <c r="O39" s="21"/>
      <c r="P39" s="28"/>
      <c r="Q39" s="21"/>
      <c r="R39" s="11"/>
      <c r="S39" s="4"/>
    </row>
    <row r="40" spans="2:19" ht="10.5">
      <c r="B40" s="18" t="s">
        <v>48</v>
      </c>
      <c r="C40" s="18"/>
      <c r="D40" s="18"/>
      <c r="E40" s="18"/>
      <c r="F40" s="23"/>
      <c r="G40" s="315"/>
      <c r="H40" s="20"/>
      <c r="I40" s="303"/>
      <c r="J40" s="247"/>
      <c r="K40" s="345"/>
      <c r="L40" s="40"/>
      <c r="M40" s="21"/>
      <c r="N40" s="40"/>
      <c r="O40" s="21"/>
      <c r="P40" s="28"/>
      <c r="Q40" s="21"/>
      <c r="R40" s="11"/>
      <c r="S40" s="4"/>
    </row>
    <row r="41" spans="2:19" ht="10.5">
      <c r="B41" s="18" t="s">
        <v>49</v>
      </c>
      <c r="C41" s="18"/>
      <c r="D41" s="18"/>
      <c r="E41" s="18"/>
      <c r="F41" s="23"/>
      <c r="G41" s="315"/>
      <c r="H41" s="20"/>
      <c r="I41" s="303"/>
      <c r="J41" s="247"/>
      <c r="K41" s="345"/>
      <c r="L41" s="40"/>
      <c r="M41" s="21"/>
      <c r="N41" s="40"/>
      <c r="O41" s="21"/>
      <c r="P41" s="28"/>
      <c r="Q41" s="21"/>
      <c r="R41" s="11"/>
      <c r="S41" s="4"/>
    </row>
    <row r="42" spans="2:19" ht="10.5">
      <c r="B42" s="18" t="s">
        <v>45</v>
      </c>
      <c r="C42" s="18"/>
      <c r="D42" s="18"/>
      <c r="E42" s="18"/>
      <c r="F42" s="23"/>
      <c r="G42" s="315"/>
      <c r="H42" s="20"/>
      <c r="I42" s="303"/>
      <c r="J42" s="247"/>
      <c r="K42" s="345"/>
      <c r="L42" s="248"/>
      <c r="M42" s="21"/>
      <c r="N42" s="248"/>
      <c r="O42" s="21"/>
      <c r="P42" s="28"/>
      <c r="Q42" s="21"/>
      <c r="R42" s="11"/>
      <c r="S42" s="253"/>
    </row>
    <row r="43" spans="2:19" ht="10.5">
      <c r="B43" s="18" t="s">
        <v>44</v>
      </c>
      <c r="C43" s="18"/>
      <c r="D43" s="18"/>
      <c r="E43" s="18"/>
      <c r="F43" s="23"/>
      <c r="G43" s="315"/>
      <c r="H43" s="20"/>
      <c r="I43" s="303"/>
      <c r="J43" s="247"/>
      <c r="K43" s="345"/>
      <c r="L43" s="248"/>
      <c r="M43" s="21"/>
      <c r="N43" s="248"/>
      <c r="O43" s="21"/>
      <c r="P43" s="28"/>
      <c r="Q43" s="21"/>
      <c r="R43" s="11"/>
      <c r="S43" s="4"/>
    </row>
    <row r="44" spans="2:19" ht="10.5">
      <c r="B44" s="18" t="s">
        <v>50</v>
      </c>
      <c r="C44" s="18"/>
      <c r="D44" s="18"/>
      <c r="E44" s="18"/>
      <c r="F44" s="18"/>
      <c r="G44" s="79"/>
      <c r="H44" s="20"/>
      <c r="I44" s="261"/>
      <c r="J44" s="80"/>
      <c r="K44" s="346"/>
      <c r="L44" s="81"/>
      <c r="M44" s="38"/>
      <c r="N44" s="82"/>
      <c r="O44" s="38"/>
      <c r="P44" s="29"/>
      <c r="Q44" s="38"/>
      <c r="R44" s="262"/>
      <c r="S44" s="262"/>
    </row>
    <row r="45" spans="1:33" s="15" customFormat="1" ht="10.5">
      <c r="A45" s="189"/>
      <c r="B45" s="35" t="s">
        <v>51</v>
      </c>
      <c r="C45" s="30"/>
      <c r="D45" s="30"/>
      <c r="E45" s="30"/>
      <c r="F45" s="30"/>
      <c r="G45" s="30"/>
      <c r="H45" s="30"/>
      <c r="I45" s="30"/>
      <c r="J45" s="32"/>
      <c r="K45" s="347"/>
      <c r="L45" s="30"/>
      <c r="M45" s="348"/>
      <c r="N45" s="83"/>
      <c r="O45" s="348"/>
      <c r="P45" s="28"/>
      <c r="Q45" s="348"/>
      <c r="R45" s="4"/>
      <c r="S45" s="348"/>
      <c r="T45" s="189"/>
      <c r="U45" s="189"/>
      <c r="V45" s="189"/>
      <c r="W45" s="189"/>
      <c r="X45" s="189"/>
      <c r="Y45" s="189"/>
      <c r="Z45" s="189"/>
      <c r="AA45" s="189"/>
      <c r="AB45" s="189"/>
      <c r="AC45" s="189"/>
      <c r="AD45" s="189"/>
      <c r="AE45" s="189"/>
      <c r="AF45" s="189"/>
      <c r="AG45" s="189"/>
    </row>
    <row r="46" spans="1:33" s="15" customFormat="1" ht="10.5">
      <c r="A46" s="189"/>
      <c r="B46" s="31" t="s">
        <v>55</v>
      </c>
      <c r="C46" s="18"/>
      <c r="D46" s="18"/>
      <c r="E46" s="18" t="s">
        <v>52</v>
      </c>
      <c r="F46" s="4"/>
      <c r="G46" s="18"/>
      <c r="H46" s="18"/>
      <c r="I46" s="18"/>
      <c r="J46" s="26"/>
      <c r="K46" s="345"/>
      <c r="L46" s="18"/>
      <c r="M46" s="18"/>
      <c r="N46" s="18"/>
      <c r="O46" s="18"/>
      <c r="P46" s="18"/>
      <c r="Q46" s="18"/>
      <c r="R46" s="4"/>
      <c r="S46" s="4"/>
      <c r="T46" s="189"/>
      <c r="U46" s="189"/>
      <c r="V46" s="189"/>
      <c r="W46" s="189"/>
      <c r="X46" s="189"/>
      <c r="Y46" s="189"/>
      <c r="Z46" s="189"/>
      <c r="AA46" s="189"/>
      <c r="AB46" s="189"/>
      <c r="AC46" s="189"/>
      <c r="AD46" s="189"/>
      <c r="AE46" s="189"/>
      <c r="AF46" s="189"/>
      <c r="AG46" s="189"/>
    </row>
    <row r="47" spans="1:33" s="15" customFormat="1" ht="21" customHeight="1">
      <c r="A47" s="189"/>
      <c r="B47" s="18" t="s">
        <v>53</v>
      </c>
      <c r="C47" s="18"/>
      <c r="D47" s="18"/>
      <c r="E47" s="18"/>
      <c r="F47" s="18"/>
      <c r="G47" s="18"/>
      <c r="H47" s="18"/>
      <c r="I47" s="18"/>
      <c r="J47" s="18"/>
      <c r="K47" s="346"/>
      <c r="L47" s="18"/>
      <c r="M47" s="18"/>
      <c r="N47" s="18"/>
      <c r="O47" s="18"/>
      <c r="P47" s="18"/>
      <c r="Q47" s="18"/>
      <c r="R47" s="4"/>
      <c r="S47" s="4"/>
      <c r="T47" s="189"/>
      <c r="U47" s="189"/>
      <c r="V47" s="189"/>
      <c r="W47" s="189"/>
      <c r="X47" s="189"/>
      <c r="Y47" s="189"/>
      <c r="Z47" s="189"/>
      <c r="AA47" s="189"/>
      <c r="AB47" s="189"/>
      <c r="AC47" s="189"/>
      <c r="AD47" s="189"/>
      <c r="AE47" s="189"/>
      <c r="AF47" s="189"/>
      <c r="AG47" s="189"/>
    </row>
    <row r="48" spans="1:33" s="15" customFormat="1" ht="10.5">
      <c r="A48" s="189"/>
      <c r="B48" s="31" t="s">
        <v>54</v>
      </c>
      <c r="C48" s="18"/>
      <c r="D48" s="18"/>
      <c r="E48" s="18"/>
      <c r="F48" s="18"/>
      <c r="G48" s="18"/>
      <c r="H48" s="18"/>
      <c r="I48" s="18"/>
      <c r="J48" s="18"/>
      <c r="K48" s="345"/>
      <c r="L48" s="18"/>
      <c r="M48" s="18"/>
      <c r="N48" s="18"/>
      <c r="O48" s="18"/>
      <c r="P48" s="18"/>
      <c r="Q48" s="18"/>
      <c r="R48" s="4"/>
      <c r="S48" s="4"/>
      <c r="T48" s="189"/>
      <c r="U48" s="189"/>
      <c r="V48" s="189"/>
      <c r="W48" s="189"/>
      <c r="X48" s="189"/>
      <c r="Y48" s="189"/>
      <c r="Z48" s="189"/>
      <c r="AA48" s="189"/>
      <c r="AB48" s="189"/>
      <c r="AC48" s="189"/>
      <c r="AD48" s="189"/>
      <c r="AE48" s="189"/>
      <c r="AF48" s="189"/>
      <c r="AG48" s="189"/>
    </row>
    <row r="49" spans="1:33" s="15" customFormat="1" ht="10.5">
      <c r="A49" s="189"/>
      <c r="B49" s="31" t="s">
        <v>56</v>
      </c>
      <c r="C49" s="18"/>
      <c r="D49" s="18"/>
      <c r="E49" s="18"/>
      <c r="F49" s="18"/>
      <c r="G49" s="18"/>
      <c r="H49" s="18"/>
      <c r="I49" s="18"/>
      <c r="J49" s="18"/>
      <c r="K49" s="346"/>
      <c r="L49" s="18"/>
      <c r="M49" s="18"/>
      <c r="N49" s="18"/>
      <c r="O49" s="18"/>
      <c r="P49" s="18"/>
      <c r="Q49" s="18"/>
      <c r="R49" s="4"/>
      <c r="S49" s="4"/>
      <c r="T49" s="189"/>
      <c r="U49" s="189"/>
      <c r="V49" s="189"/>
      <c r="W49" s="189"/>
      <c r="X49" s="189"/>
      <c r="Y49" s="189"/>
      <c r="Z49" s="189"/>
      <c r="AA49" s="189"/>
      <c r="AB49" s="189"/>
      <c r="AC49" s="189"/>
      <c r="AD49" s="189"/>
      <c r="AE49" s="189"/>
      <c r="AF49" s="189"/>
      <c r="AG49" s="189"/>
    </row>
    <row r="50" spans="2:19" ht="10.5">
      <c r="B50" s="85" t="s">
        <v>193</v>
      </c>
      <c r="C50" s="4"/>
      <c r="D50" s="4"/>
      <c r="E50" s="4"/>
      <c r="F50" s="4"/>
      <c r="G50" s="4"/>
      <c r="H50" s="4"/>
      <c r="I50" s="4"/>
      <c r="J50" s="4"/>
      <c r="K50" s="347"/>
      <c r="L50" s="4"/>
      <c r="M50" s="4"/>
      <c r="N50" s="4"/>
      <c r="O50" s="4"/>
      <c r="P50" s="4"/>
      <c r="Q50" s="4"/>
      <c r="R50" s="4"/>
      <c r="S50" s="4"/>
    </row>
    <row r="51" s="189" customFormat="1" ht="10.5"/>
    <row r="52" s="189" customFormat="1" ht="13.5" customHeight="1"/>
    <row r="53" s="189" customFormat="1" ht="13.5" customHeight="1">
      <c r="R53" s="263" t="s">
        <v>79</v>
      </c>
    </row>
    <row r="54" spans="4:18" s="189" customFormat="1" ht="13.5" customHeight="1">
      <c r="D54" s="264"/>
      <c r="E54" s="264"/>
      <c r="F54" s="264"/>
      <c r="G54" s="264"/>
      <c r="H54" s="264"/>
      <c r="I54" s="264"/>
      <c r="K54" s="324" t="s">
        <v>300</v>
      </c>
      <c r="L54" s="325"/>
      <c r="M54" s="325"/>
      <c r="N54" s="325"/>
      <c r="O54" s="325"/>
      <c r="Q54" s="326" t="s">
        <v>301</v>
      </c>
      <c r="R54" s="326" t="s">
        <v>302</v>
      </c>
    </row>
    <row r="55" spans="2:18" s="189" customFormat="1" ht="13.5" customHeight="1">
      <c r="B55" s="265" t="s">
        <v>19</v>
      </c>
      <c r="D55" s="264"/>
      <c r="E55" s="264"/>
      <c r="F55" s="264"/>
      <c r="G55" s="264"/>
      <c r="H55" s="266" t="s">
        <v>303</v>
      </c>
      <c r="I55" s="264"/>
      <c r="J55" s="264"/>
      <c r="K55" s="264"/>
      <c r="L55" s="267" t="s">
        <v>29</v>
      </c>
      <c r="M55" s="268" t="s">
        <v>304</v>
      </c>
      <c r="N55" s="268" t="s">
        <v>305</v>
      </c>
      <c r="O55" s="268" t="s">
        <v>321</v>
      </c>
      <c r="P55" s="264"/>
      <c r="Q55" s="327"/>
      <c r="R55" s="327"/>
    </row>
    <row r="56" spans="2:18" s="189" customFormat="1" ht="13.5" customHeight="1">
      <c r="B56" s="189" t="s">
        <v>327</v>
      </c>
      <c r="E56" s="269">
        <f>IF(ISBLANK(F7),1,IF(F7=Bedrijfsgegevens!D34," ",1))</f>
        <v>1</v>
      </c>
      <c r="F56" s="209" t="str">
        <f aca="true" t="shared" si="1" ref="F56:F67">IF(E56=1,"fout"," ")</f>
        <v>fout</v>
      </c>
      <c r="G56" s="264"/>
      <c r="H56" s="264" t="s">
        <v>338</v>
      </c>
      <c r="I56" s="264"/>
      <c r="J56" s="264"/>
      <c r="K56" s="264"/>
      <c r="L56" s="270"/>
      <c r="M56" s="264"/>
      <c r="N56" s="264"/>
      <c r="O56" s="264"/>
      <c r="P56" s="264"/>
      <c r="Q56" s="264"/>
      <c r="R56" s="269">
        <f>IF(ISBLANK(S17),1,IF(S17=G17," ",1))</f>
        <v>1</v>
      </c>
    </row>
    <row r="57" spans="2:20" s="189" customFormat="1" ht="13.5" customHeight="1">
      <c r="B57" s="189" t="s">
        <v>328</v>
      </c>
      <c r="E57" s="269">
        <f>IF(ISBLANK(G7),1,IF(G7&lt;saldo!H13-1.5,1,IF(G7&gt;saldo!H13+1.5,1," ")))</f>
        <v>1</v>
      </c>
      <c r="F57" s="209" t="str">
        <f t="shared" si="1"/>
        <v>fout</v>
      </c>
      <c r="H57" s="264" t="s">
        <v>339</v>
      </c>
      <c r="I57" s="264"/>
      <c r="J57" s="264"/>
      <c r="K57" s="264"/>
      <c r="L57" s="270"/>
      <c r="M57" s="264"/>
      <c r="N57" s="264"/>
      <c r="O57" s="264"/>
      <c r="P57" s="264"/>
      <c r="Q57" s="264"/>
      <c r="R57" s="269">
        <f>IF(ISBLANK(S18),1,IF(S18=G18," ",1))</f>
        <v>1</v>
      </c>
      <c r="S57" s="328" t="s">
        <v>308</v>
      </c>
      <c r="T57" s="328"/>
    </row>
    <row r="58" spans="2:20" s="189" customFormat="1" ht="13.5" customHeight="1">
      <c r="B58" s="189" t="s">
        <v>329</v>
      </c>
      <c r="E58" s="269" t="str">
        <f>IF(ISBLANK(H7),1,IF(H7&lt;saldo!H36-1.5,1,IF(H7&gt;saldo!H36+1.5,1," ")))</f>
        <v> </v>
      </c>
      <c r="F58" s="209" t="str">
        <f>IF(E58=1,"fout"," ")</f>
        <v> </v>
      </c>
      <c r="H58" s="264" t="s">
        <v>306</v>
      </c>
      <c r="I58" s="264"/>
      <c r="J58" s="264"/>
      <c r="K58" s="264"/>
      <c r="L58" s="270"/>
      <c r="M58" s="264"/>
      <c r="N58" s="264"/>
      <c r="O58" s="264"/>
      <c r="P58" s="264"/>
      <c r="Q58" s="264"/>
      <c r="R58" s="269">
        <f>IF(ISBLANK(S21),1,IF(S21=G21-O21," ",1))</f>
        <v>1</v>
      </c>
      <c r="S58" s="328"/>
      <c r="T58" s="328"/>
    </row>
    <row r="59" spans="2:20" s="189" customFormat="1" ht="13.5" customHeight="1">
      <c r="B59" s="189" t="s">
        <v>330</v>
      </c>
      <c r="E59" s="269">
        <f>IF(ISBLANK(K7),1,IF(K7&lt;saldo!H36*Bedrijfsgegevens!D34-1.5,1,IF(K7&gt;saldo!H36*Bedrijfsgegevens!D34+1.5,1," ")))</f>
        <v>1</v>
      </c>
      <c r="F59" s="209" t="str">
        <f t="shared" si="1"/>
        <v>fout</v>
      </c>
      <c r="H59" s="189" t="s">
        <v>307</v>
      </c>
      <c r="I59" s="264"/>
      <c r="J59" s="264"/>
      <c r="K59" s="264"/>
      <c r="L59" s="269">
        <f>IF(ISBLANK(O20),1,IF(O20&lt;(G20*H20/100)-1.5,1,IF(O20&gt;(G20*H20/100)+1.5,1," ")))</f>
        <v>1</v>
      </c>
      <c r="M59" s="269">
        <f>IF(ISBLANK(M20),1,IF(M20&lt;(G20*I20/100)-1.5,1,IF(M20&gt;(G20*I20/100)+1.5,1," ")))</f>
        <v>1</v>
      </c>
      <c r="N59" s="269">
        <f>IF(ISBLANK(Q20),1,IF(N20&lt;(Q20*G20/100)-1.5,1,IF(Q20&gt;(G20*J20/100)+1.5,1," ")))</f>
        <v>1</v>
      </c>
      <c r="O59" s="269">
        <f>IF(ISBLANK(K20),1,IF(K20&lt;((H20+I20+J20)*G20/100)-1.5,1,IF(K20&gt;((H20+I20+J20)*G20/100)+1.5,1," ")))</f>
        <v>1</v>
      </c>
      <c r="P59" s="264"/>
      <c r="Q59" s="269">
        <f>IF(ISBLANK(R20),1,IF(R20=Bedrijfsgegevens!G115," ",1))</f>
        <v>1</v>
      </c>
      <c r="R59" s="269">
        <f>IF(ISBLANK(S20),1,IF(S20=O20*R20," ",1))</f>
        <v>1</v>
      </c>
      <c r="S59" s="328"/>
      <c r="T59" s="328"/>
    </row>
    <row r="60" spans="2:20" s="189" customFormat="1" ht="13.5" customHeight="1">
      <c r="B60" s="189" t="s">
        <v>326</v>
      </c>
      <c r="E60" s="269">
        <f>IF(ISBLANK(L7),1,IF(OR(L7=saldo!E29,L7=saldo!H29)," ",1))</f>
        <v>1</v>
      </c>
      <c r="F60" s="209" t="str">
        <f t="shared" si="1"/>
        <v>fout</v>
      </c>
      <c r="H60" s="264" t="str">
        <f>B24</f>
        <v>gebouwen fokzeugen</v>
      </c>
      <c r="I60" s="264"/>
      <c r="J60" s="264"/>
      <c r="K60" s="264"/>
      <c r="L60" s="269">
        <f>IF(ISBLANK(O24),1,IF(O24&lt;(G24*H24/100)-1.5,1,IF(O24&gt;(G24*H24/100)+1.5,1," ")))</f>
        <v>1</v>
      </c>
      <c r="M60" s="269">
        <f>IF(ISBLANK(M24),1,IF(M24&lt;(G24*I24/100)-1.5,1,IF(M24&gt;(G24*I24/100)+1.5,1," ")))</f>
        <v>1</v>
      </c>
      <c r="N60" s="269">
        <f>IF(ISBLANK(Q24),1,IF(Q24&lt;G24*P24/100-1.5,1,IF(Q24&gt;G24*P24/100+1.5,1," ")))</f>
        <v>1</v>
      </c>
      <c r="O60" s="269">
        <f>IF(ISBLANK(K24),1,IF(K24&lt;((H24+I24+J24)*G24/100)-1.5,1,IF(K24&gt;((H24+I24+J24)*G24/100)+1.5,1," ")))</f>
        <v>1</v>
      </c>
      <c r="P60" s="264"/>
      <c r="Q60" s="269">
        <f>IF(ISBLANK(R24),1,IF(R24=Bedrijfsgegevens!G116," ",1))</f>
        <v>1</v>
      </c>
      <c r="R60" s="269">
        <f>IF(ISBLANK(S24),1,IF(S24=O24*R24," ",1))</f>
        <v>1</v>
      </c>
      <c r="S60" s="271" t="s">
        <v>309</v>
      </c>
      <c r="T60" s="271"/>
    </row>
    <row r="61" spans="2:20" s="189" customFormat="1" ht="13.5" customHeight="1">
      <c r="B61" s="189" t="s">
        <v>324</v>
      </c>
      <c r="E61" s="269">
        <f>IF(ISBLANK(M7),1,IF(M7&lt;F7*saldo!F29*saldo!E29/100-1.5,1,IF(M7&gt;F7*saldo!F29*saldo!E29/100+1.5,1," ")))</f>
        <v>1</v>
      </c>
      <c r="F61" s="209" t="str">
        <f t="shared" si="1"/>
        <v>fout</v>
      </c>
      <c r="H61" s="264">
        <f aca="true" t="shared" si="2" ref="H61:H69">B25</f>
        <v>0</v>
      </c>
      <c r="I61" s="264"/>
      <c r="J61" s="264"/>
      <c r="K61" s="264"/>
      <c r="L61" s="269">
        <f aca="true" t="shared" si="3" ref="L61:L70">IF(ISBLANK(O25),1,IF(O25&lt;(G25*H25/100)-1.5,1,IF(O25&gt;(G25*H25/100)+1.5,1," ")))</f>
        <v>1</v>
      </c>
      <c r="M61" s="269">
        <f aca="true" t="shared" si="4" ref="M61:M70">IF(ISBLANK(M25),1,IF(M25&lt;(G25*I25/100)-1.5,1,IF(M25&gt;(G25*I25/100)+1.5,1," ")))</f>
        <v>1</v>
      </c>
      <c r="N61" s="269">
        <f aca="true" t="shared" si="5" ref="N61:N70">IF(ISBLANK(Q25),1,IF(Q25&lt;G25*P25/100-1.5,1,IF(Q25&gt;G25*P25/100+1.5,1," ")))</f>
        <v>1</v>
      </c>
      <c r="O61" s="269">
        <f aca="true" t="shared" si="6" ref="O61:O70">IF(ISBLANK(K25),1,IF(K25&lt;((H25+I25+J25)*G25/100)-1.5,1,IF(K25&gt;((H25+I25+J25)*G25/100)+1.5,1," ")))</f>
        <v>1</v>
      </c>
      <c r="P61" s="264"/>
      <c r="Q61" s="269">
        <f>IF(ISBLANK(R25),1,IF(R25=Bedrijfsgegevens!G117," ",1))</f>
        <v>1</v>
      </c>
      <c r="R61" s="269">
        <f aca="true" t="shared" si="7" ref="R61:R69">IF(ISBLANK(S25),1,IF(S25=O25*R25," ",1))</f>
        <v>1</v>
      </c>
      <c r="S61" s="271"/>
      <c r="T61" s="271"/>
    </row>
    <row r="62" spans="2:20" s="189" customFormat="1" ht="13.5" customHeight="1">
      <c r="B62" s="189" t="s">
        <v>331</v>
      </c>
      <c r="E62" s="269">
        <f>IF(ISBLANK(F8),1,IF(F8=Bedrijfsgegevens!H34," ",1))</f>
        <v>1</v>
      </c>
      <c r="F62" s="209" t="str">
        <f t="shared" si="1"/>
        <v>fout</v>
      </c>
      <c r="H62" s="264">
        <f t="shared" si="2"/>
        <v>0</v>
      </c>
      <c r="I62" s="264"/>
      <c r="J62" s="264"/>
      <c r="K62" s="264"/>
      <c r="L62" s="269">
        <f t="shared" si="3"/>
        <v>1</v>
      </c>
      <c r="M62" s="269">
        <f t="shared" si="4"/>
        <v>1</v>
      </c>
      <c r="N62" s="269">
        <f t="shared" si="5"/>
        <v>1</v>
      </c>
      <c r="O62" s="269">
        <f t="shared" si="6"/>
        <v>1</v>
      </c>
      <c r="P62" s="264"/>
      <c r="Q62" s="269">
        <f>IF(ISBLANK(R26),1,IF(R26=Bedrijfsgegevens!G118," ",1))</f>
        <v>1</v>
      </c>
      <c r="R62" s="269">
        <f t="shared" si="7"/>
        <v>1</v>
      </c>
      <c r="S62" s="271"/>
      <c r="T62" s="271"/>
    </row>
    <row r="63" spans="2:19" s="189" customFormat="1" ht="13.5" customHeight="1">
      <c r="B63" s="189" t="s">
        <v>332</v>
      </c>
      <c r="E63" s="269">
        <f>IF(ISBLANK(G8),1,IF(G8&lt;saldo!K13*saldo!K37-1.5,1,IF(G8&gt;saldo!K13*saldo!K37+1.5,1," ")))</f>
        <v>1</v>
      </c>
      <c r="F63" s="209" t="str">
        <f t="shared" si="1"/>
        <v>fout</v>
      </c>
      <c r="H63" s="264">
        <f t="shared" si="2"/>
        <v>0</v>
      </c>
      <c r="I63" s="264"/>
      <c r="J63" s="264"/>
      <c r="K63" s="264"/>
      <c r="L63" s="269">
        <f t="shared" si="3"/>
        <v>1</v>
      </c>
      <c r="M63" s="269">
        <f t="shared" si="4"/>
        <v>1</v>
      </c>
      <c r="N63" s="269">
        <f t="shared" si="5"/>
        <v>1</v>
      </c>
      <c r="O63" s="269">
        <f t="shared" si="6"/>
        <v>1</v>
      </c>
      <c r="P63" s="264"/>
      <c r="Q63" s="269">
        <f>IF(ISBLANK(R27),1,IF(R27=Bedrijfsgegevens!G119," ",1))</f>
        <v>1</v>
      </c>
      <c r="R63" s="269">
        <f t="shared" si="7"/>
        <v>1</v>
      </c>
      <c r="S63" s="264"/>
    </row>
    <row r="64" spans="2:18" s="189" customFormat="1" ht="13.5" customHeight="1">
      <c r="B64" s="189" t="s">
        <v>265</v>
      </c>
      <c r="E64" s="269">
        <f>IF(ISBLANK(H8),1,IF(H8&lt;saldo!K38-1.5,1,IF(H8&gt;saldo!K38+1.5,1," ")))</f>
        <v>1</v>
      </c>
      <c r="F64" s="209" t="str">
        <f t="shared" si="1"/>
        <v>fout</v>
      </c>
      <c r="H64" s="264">
        <f t="shared" si="2"/>
        <v>0</v>
      </c>
      <c r="I64" s="264"/>
      <c r="J64" s="264"/>
      <c r="K64" s="264"/>
      <c r="L64" s="269">
        <f t="shared" si="3"/>
        <v>1</v>
      </c>
      <c r="M64" s="269">
        <f t="shared" si="4"/>
        <v>1</v>
      </c>
      <c r="N64" s="269">
        <f t="shared" si="5"/>
        <v>1</v>
      </c>
      <c r="O64" s="269">
        <f t="shared" si="6"/>
        <v>1</v>
      </c>
      <c r="P64" s="264"/>
      <c r="Q64" s="269">
        <f>IF(ISBLANK(R28),1,IF(R28=Bedrijfsgegevens!G120," ",1))</f>
        <v>1</v>
      </c>
      <c r="R64" s="269">
        <f t="shared" si="7"/>
        <v>1</v>
      </c>
    </row>
    <row r="65" spans="2:18" s="189" customFormat="1" ht="13.5" customHeight="1">
      <c r="B65" s="189" t="s">
        <v>333</v>
      </c>
      <c r="E65" s="269">
        <f>IF(ISBLANK(K8),1,IF(K8&lt;F8*H8-1.5,1,IF(K8&gt;F8*H8+1.5,1," ")))</f>
        <v>1</v>
      </c>
      <c r="F65" s="209" t="str">
        <f t="shared" si="1"/>
        <v>fout</v>
      </c>
      <c r="H65" s="264" t="str">
        <f t="shared" si="2"/>
        <v>gebouwen vleesvarkens</v>
      </c>
      <c r="L65" s="269">
        <f t="shared" si="3"/>
        <v>1</v>
      </c>
      <c r="M65" s="269">
        <f t="shared" si="4"/>
        <v>1</v>
      </c>
      <c r="N65" s="269">
        <f t="shared" si="5"/>
        <v>1</v>
      </c>
      <c r="O65" s="269">
        <f t="shared" si="6"/>
        <v>1</v>
      </c>
      <c r="P65" s="264"/>
      <c r="Q65" s="269">
        <f>IF(ISBLANK(R29),1,IF(R29=Bedrijfsgegevens!G121," ",1))</f>
        <v>1</v>
      </c>
      <c r="R65" s="269">
        <f t="shared" si="7"/>
        <v>1</v>
      </c>
    </row>
    <row r="66" spans="2:18" s="189" customFormat="1" ht="13.5" customHeight="1">
      <c r="B66" s="189" t="s">
        <v>334</v>
      </c>
      <c r="E66" s="269">
        <f>IF(ISBLANK(L8),1,IF(OR(L8=saldo!E29,L8=saldo!I29*saldo!J29/100)," ",1))</f>
        <v>1</v>
      </c>
      <c r="F66" s="209" t="str">
        <f t="shared" si="1"/>
        <v>fout</v>
      </c>
      <c r="H66" s="264">
        <f t="shared" si="2"/>
        <v>0</v>
      </c>
      <c r="L66" s="269">
        <f t="shared" si="3"/>
        <v>1</v>
      </c>
      <c r="M66" s="269">
        <f t="shared" si="4"/>
        <v>1</v>
      </c>
      <c r="N66" s="269">
        <f t="shared" si="5"/>
        <v>1</v>
      </c>
      <c r="O66" s="269">
        <f t="shared" si="6"/>
        <v>1</v>
      </c>
      <c r="P66" s="264"/>
      <c r="Q66" s="269">
        <f>IF(ISBLANK(R30),1,IF(R30=Bedrijfsgegevens!G122," ",1))</f>
        <v>1</v>
      </c>
      <c r="R66" s="269">
        <f t="shared" si="7"/>
        <v>1</v>
      </c>
    </row>
    <row r="67" spans="2:18" s="189" customFormat="1" ht="13.5" customHeight="1">
      <c r="B67" s="189" t="s">
        <v>325</v>
      </c>
      <c r="E67" s="269">
        <f>IF(ISBLANK(M8),1,IF(M8&lt;F8*saldo!I29*saldo!J29/100-1.5,1,IF(M8&gt;F8*saldo!I29*saldo!J29/100+1.5,1," ")))</f>
        <v>1</v>
      </c>
      <c r="F67" s="209" t="str">
        <f t="shared" si="1"/>
        <v>fout</v>
      </c>
      <c r="H67" s="264">
        <f t="shared" si="2"/>
        <v>0</v>
      </c>
      <c r="I67" s="264"/>
      <c r="J67" s="264"/>
      <c r="K67" s="264"/>
      <c r="L67" s="269">
        <f t="shared" si="3"/>
        <v>1</v>
      </c>
      <c r="M67" s="269">
        <f t="shared" si="4"/>
        <v>1</v>
      </c>
      <c r="N67" s="269">
        <f t="shared" si="5"/>
        <v>1</v>
      </c>
      <c r="O67" s="269">
        <f t="shared" si="6"/>
        <v>1</v>
      </c>
      <c r="P67" s="264"/>
      <c r="Q67" s="269">
        <f>IF(ISBLANK(R31),1,IF(R31=Bedrijfsgegevens!G123," ",1))</f>
        <v>1</v>
      </c>
      <c r="R67" s="269">
        <f t="shared" si="7"/>
        <v>1</v>
      </c>
    </row>
    <row r="68" spans="2:18" s="189" customFormat="1" ht="13.5" customHeight="1">
      <c r="B68" s="265" t="s">
        <v>310</v>
      </c>
      <c r="H68" s="264">
        <f t="shared" si="2"/>
        <v>0</v>
      </c>
      <c r="I68" s="264"/>
      <c r="J68" s="264"/>
      <c r="K68" s="264"/>
      <c r="L68" s="269">
        <f t="shared" si="3"/>
        <v>1</v>
      </c>
      <c r="M68" s="269">
        <f t="shared" si="4"/>
        <v>1</v>
      </c>
      <c r="N68" s="269">
        <f t="shared" si="5"/>
        <v>1</v>
      </c>
      <c r="O68" s="269">
        <f t="shared" si="6"/>
        <v>1</v>
      </c>
      <c r="P68" s="264"/>
      <c r="Q68" s="269">
        <f>IF(ISBLANK(R32),1,IF(R32=Bedrijfsgegevens!G124," ",1))</f>
        <v>1</v>
      </c>
      <c r="R68" s="269">
        <f t="shared" si="7"/>
        <v>1</v>
      </c>
    </row>
    <row r="69" spans="2:18" s="189" customFormat="1" ht="13.5" customHeight="1">
      <c r="B69" s="189" t="s">
        <v>311</v>
      </c>
      <c r="E69" s="269">
        <f>IF(ISBLANK(G14),1,IF(G14=Bedrijfsgegevens!E15," ",1))</f>
        <v>1</v>
      </c>
      <c r="F69" s="209" t="str">
        <f>IF(E69=1,"fout"," ")</f>
        <v>fout</v>
      </c>
      <c r="H69" s="264">
        <f t="shared" si="2"/>
        <v>0</v>
      </c>
      <c r="I69" s="264"/>
      <c r="J69" s="264"/>
      <c r="K69" s="264"/>
      <c r="L69" s="269">
        <f t="shared" si="3"/>
        <v>1</v>
      </c>
      <c r="M69" s="269">
        <f t="shared" si="4"/>
        <v>1</v>
      </c>
      <c r="N69" s="269">
        <f t="shared" si="5"/>
        <v>1</v>
      </c>
      <c r="O69" s="269">
        <f t="shared" si="6"/>
        <v>1</v>
      </c>
      <c r="P69" s="264"/>
      <c r="Q69" s="269">
        <f>IF(ISBLANK(R33),1,IF(R33=Bedrijfsgegevens!G125," ",1))</f>
        <v>1</v>
      </c>
      <c r="R69" s="269">
        <f t="shared" si="7"/>
        <v>1</v>
      </c>
    </row>
    <row r="70" spans="2:18" s="189" customFormat="1" ht="13.5" customHeight="1">
      <c r="B70" s="189" t="s">
        <v>313</v>
      </c>
      <c r="E70" s="269">
        <f>IF(ISBLANK(I14),1,IF(I14=Bedrijfsgegevens!E105," ",1))</f>
        <v>1</v>
      </c>
      <c r="F70" s="209" t="str">
        <f aca="true" t="shared" si="8" ref="F70:F78">IF(E70=1,"fout"," ")</f>
        <v>fout</v>
      </c>
      <c r="H70" s="264" t="s">
        <v>312</v>
      </c>
      <c r="I70" s="264"/>
      <c r="J70" s="264"/>
      <c r="K70" s="264"/>
      <c r="L70" s="269">
        <f t="shared" si="3"/>
        <v>1</v>
      </c>
      <c r="M70" s="269">
        <f t="shared" si="4"/>
        <v>1</v>
      </c>
      <c r="N70" s="269">
        <f t="shared" si="5"/>
        <v>1</v>
      </c>
      <c r="O70" s="269">
        <f t="shared" si="6"/>
        <v>1</v>
      </c>
      <c r="P70" s="264"/>
      <c r="Q70" s="264"/>
      <c r="R70" s="269">
        <f>IF(ISBLANK(S34),1,IF(S34=(100+Bedrijfsgegevens!D127)/2/100*G34," ",1))</f>
        <v>1</v>
      </c>
    </row>
    <row r="71" spans="2:18" s="189" customFormat="1" ht="13.5" customHeight="1">
      <c r="B71" s="189" t="s">
        <v>315</v>
      </c>
      <c r="E71" s="269">
        <f>IF(ISBLANK(K14),1,IF(K14&lt;G14*I14-1.5,1,IF(K14&gt;G14*I14+1.5,1," ")))</f>
        <v>1</v>
      </c>
      <c r="F71" s="209" t="str">
        <f>IF(E71=1,"fout"," ")</f>
        <v>fout</v>
      </c>
      <c r="H71" s="264" t="s">
        <v>314</v>
      </c>
      <c r="I71" s="264"/>
      <c r="J71" s="264"/>
      <c r="K71" s="264"/>
      <c r="L71" s="269">
        <f>IF(ISBLANK(O45),1,IF(O45&lt;SUM(O14:O44)-1.5,1,IF(O45&gt;SUM(O14:O44)+1.5,1," ")))</f>
        <v>1</v>
      </c>
      <c r="M71" s="269">
        <f>IF(ISBLANK(M45),1,IF(M45&lt;SUM(M14:M44)+M7+M8-1.5,1,IF(M45&gt;SUM(M14:M44)+M7+M8+1.5,1," ")))</f>
        <v>1</v>
      </c>
      <c r="N71" s="269">
        <f>IF(ISBLANK(Q45),1,IF(Q45&lt;SUM(Q14:Q44)-1.5,1,IF(Q45&gt;SUM(Q14:Q44)+1.5,1," ")))</f>
        <v>1</v>
      </c>
      <c r="O71" s="269">
        <f>IF(ISBLANK(K45),1,IF(K45&lt;SUM(K14:K44)-1.5,1,IF(K45&gt;SUM(K14:K44)+1.5,1," ")))</f>
        <v>1</v>
      </c>
      <c r="R71" s="269">
        <f>IF(ISBLANK(S45),1,IF(S45&lt;SUM(S14:S44)-1.5,1,IF(S45&gt;SUM(S14:S44)+1.5,1," ")))</f>
        <v>1</v>
      </c>
    </row>
    <row r="72" spans="2:6" s="189" customFormat="1" ht="13.5" customHeight="1">
      <c r="B72" s="189" t="s">
        <v>316</v>
      </c>
      <c r="E72" s="269">
        <f>IF(ISBLANK(K15),1,IF(K15=Bedrijfsgegevens!E106," ",1))</f>
        <v>1</v>
      </c>
      <c r="F72" s="209" t="str">
        <f t="shared" si="8"/>
        <v>fout</v>
      </c>
    </row>
    <row r="73" spans="2:13" s="189" customFormat="1" ht="13.5" customHeight="1">
      <c r="B73" s="189" t="s">
        <v>317</v>
      </c>
      <c r="E73" s="269">
        <f>IF(ISBLANK(K16),1,IF(K16&lt;G16*I16-1.5,1,IF(K16&gt;G16*I16+1.5,1," ")))</f>
        <v>1</v>
      </c>
      <c r="F73" s="209" t="str">
        <f t="shared" si="8"/>
        <v>fout</v>
      </c>
      <c r="H73" s="189" t="s">
        <v>86</v>
      </c>
      <c r="L73" s="269">
        <f>IF(ISBLANK(K35),1,IF(K35=Bedrijfsgegevens!G128," ",1))</f>
        <v>1</v>
      </c>
      <c r="M73" s="209" t="str">
        <f>IF(L73=1,"fout"," ")</f>
        <v>fout</v>
      </c>
    </row>
    <row r="74" spans="2:13" s="189" customFormat="1" ht="13.5" customHeight="1">
      <c r="B74" s="189" t="s">
        <v>335</v>
      </c>
      <c r="E74" s="269">
        <f>IF(ISBLANK(D17),1,IF(D17=Bedrijfsgegevens!E16," ",1))</f>
        <v>1</v>
      </c>
      <c r="F74" s="209" t="str">
        <f t="shared" si="8"/>
        <v>fout</v>
      </c>
      <c r="H74" s="189" t="s">
        <v>61</v>
      </c>
      <c r="L74" s="269">
        <f>IF(ISBLANK(K36),1,IF(K36=Bedrijfsgegevens!G129," ",1))</f>
        <v>1</v>
      </c>
      <c r="M74" s="209" t="str">
        <f aca="true" t="shared" si="9" ref="M74:M82">IF(L74=1,"fout"," ")</f>
        <v>fout</v>
      </c>
    </row>
    <row r="75" spans="2:13" s="189" customFormat="1" ht="13.5" customHeight="1">
      <c r="B75" s="189" t="s">
        <v>336</v>
      </c>
      <c r="E75" s="269">
        <f>IF(ISBLANK(F17),1,IF(F17=Bedrijfsgegevens!E108," ",1))</f>
        <v>1</v>
      </c>
      <c r="F75" s="209" t="str">
        <f t="shared" si="8"/>
        <v>fout</v>
      </c>
      <c r="H75" s="189" t="s">
        <v>87</v>
      </c>
      <c r="L75" s="269">
        <f>IF(ISBLANK(K37),1,IF(K37=Bedrijfsgegevens!G130," ",1))</f>
        <v>1</v>
      </c>
      <c r="M75" s="209" t="str">
        <f t="shared" si="9"/>
        <v>fout</v>
      </c>
    </row>
    <row r="76" spans="2:13" s="189" customFormat="1" ht="13.5" customHeight="1">
      <c r="B76" s="189" t="s">
        <v>318</v>
      </c>
      <c r="E76" s="269">
        <f>IF(ISBLANK(K17),1,IF(K17&lt;G17*I17/100-1.5,1,IF(K17&gt;G17*I17/100+1.5,1," ")))</f>
        <v>1</v>
      </c>
      <c r="F76" s="209" t="str">
        <f t="shared" si="8"/>
        <v>fout</v>
      </c>
      <c r="H76" s="189" t="s">
        <v>46</v>
      </c>
      <c r="L76" s="269">
        <f>IF(ISBLANK(K38),1,IF(K38=Bedrijfsgegevens!D132*Bedrijfsgegevens!E132," ",1))</f>
        <v>1</v>
      </c>
      <c r="M76" s="209" t="str">
        <f t="shared" si="9"/>
        <v>fout</v>
      </c>
    </row>
    <row r="77" spans="2:13" s="189" customFormat="1" ht="13.5" customHeight="1">
      <c r="B77" s="189" t="s">
        <v>319</v>
      </c>
      <c r="C77" s="189" t="s">
        <v>320</v>
      </c>
      <c r="E77" s="269">
        <f>IF(OR(ISBLANK(G21),ISBLANK(H21)),1,IF(AND(G21=Bedrijfsgegevens!D111,H21=Bedrijfsgegevens!E111)," ",1))</f>
        <v>1</v>
      </c>
      <c r="F77" s="209" t="str">
        <f t="shared" si="8"/>
        <v>fout</v>
      </c>
      <c r="H77" s="189" t="s">
        <v>47</v>
      </c>
      <c r="L77" s="269">
        <f>IF(ISBLANK(K39),1,IF(K39=Bedrijfsgegevens!D133*Bedrijfsgegevens!E133," ",1))</f>
        <v>1</v>
      </c>
      <c r="M77" s="209" t="str">
        <f t="shared" si="9"/>
        <v>fout</v>
      </c>
    </row>
    <row r="78" spans="3:13" s="189" customFormat="1" ht="13.5" customHeight="1">
      <c r="C78" s="189" t="s">
        <v>321</v>
      </c>
      <c r="E78" s="269">
        <f>IF(ISBLANK(K21),1,IF(K21&lt;((G21+H21)*G21/100)-1.5,1,IF(K21&gt;((G21+H21)*G21/100)+1.5,1," ")))</f>
        <v>1</v>
      </c>
      <c r="F78" s="209" t="str">
        <f t="shared" si="8"/>
        <v>fout</v>
      </c>
      <c r="H78" s="189" t="s">
        <v>48</v>
      </c>
      <c r="L78" s="269">
        <f>IF(ISBLANK(K40),1,IF(K40=Bedrijfsgegevens!D134*Bedrijfsgegevens!E134," ",1))</f>
        <v>1</v>
      </c>
      <c r="M78" s="209" t="str">
        <f t="shared" si="9"/>
        <v>fout</v>
      </c>
    </row>
    <row r="79" spans="2:13" s="189" customFormat="1" ht="13.5" customHeight="1">
      <c r="B79" s="189" t="s">
        <v>337</v>
      </c>
      <c r="E79" s="269">
        <f>IF(ISBLANK(K22),1,IF(K22=Bedrijfsgegevens!D113," ",1))</f>
        <v>1</v>
      </c>
      <c r="F79" s="209" t="str">
        <f>IF(E79=1,"fout"," ")</f>
        <v>fout</v>
      </c>
      <c r="H79" s="189" t="s">
        <v>49</v>
      </c>
      <c r="L79" s="269">
        <f>IF(ISBLANK(K41),1,IF(K41=Bedrijfsgegevens!D135*Bedrijfsgegevens!E135," ",1))</f>
        <v>1</v>
      </c>
      <c r="M79" s="209" t="str">
        <f t="shared" si="9"/>
        <v>fout</v>
      </c>
    </row>
    <row r="80" spans="8:13" s="189" customFormat="1" ht="13.5" customHeight="1">
      <c r="H80" s="189" t="s">
        <v>45</v>
      </c>
      <c r="L80" s="269">
        <f>IF(ISBLANK(K42),1,IF(K42=Bedrijfsgegevens!D136*Bedrijfsgegevens!E136," ",1))</f>
        <v>1</v>
      </c>
      <c r="M80" s="209" t="str">
        <f t="shared" si="9"/>
        <v>fout</v>
      </c>
    </row>
    <row r="81" spans="2:19" ht="13.5" customHeight="1">
      <c r="B81" s="189"/>
      <c r="C81" s="189"/>
      <c r="D81" s="189"/>
      <c r="E81" s="189"/>
      <c r="F81" s="189"/>
      <c r="G81" s="189"/>
      <c r="H81" s="189" t="s">
        <v>44</v>
      </c>
      <c r="I81" s="189"/>
      <c r="J81" s="189"/>
      <c r="K81" s="189"/>
      <c r="L81" s="269">
        <f>IF(ISBLANK(K43),1,IF(K43=Bedrijfsgegevens!D137*Bedrijfsgegevens!E137," ",1))</f>
        <v>1</v>
      </c>
      <c r="M81" s="209" t="str">
        <f t="shared" si="9"/>
        <v>fout</v>
      </c>
      <c r="N81" s="189"/>
      <c r="O81" s="189"/>
      <c r="P81" s="189"/>
      <c r="Q81" s="189"/>
      <c r="R81" s="189"/>
      <c r="S81" s="189"/>
    </row>
    <row r="82" spans="2:19" ht="13.5" customHeight="1">
      <c r="B82" s="189"/>
      <c r="C82" s="189"/>
      <c r="D82" s="189"/>
      <c r="E82" s="189"/>
      <c r="F82" s="189"/>
      <c r="G82" s="189"/>
      <c r="H82" s="189" t="s">
        <v>50</v>
      </c>
      <c r="I82" s="189"/>
      <c r="J82" s="189"/>
      <c r="K82" s="189"/>
      <c r="L82" s="269">
        <f>IF(ISBLANK(K44),1,IF(K44=Bedrijfsgegevens!E140," ",1))</f>
        <v>1</v>
      </c>
      <c r="M82" s="209" t="str">
        <f t="shared" si="9"/>
        <v>fout</v>
      </c>
      <c r="N82" s="189"/>
      <c r="O82" s="189"/>
      <c r="P82" s="189"/>
      <c r="Q82" s="189"/>
      <c r="R82" s="189"/>
      <c r="S82" s="189"/>
    </row>
    <row r="83" spans="2:19" ht="13.5" customHeight="1">
      <c r="B83" s="272" t="s">
        <v>322</v>
      </c>
      <c r="C83" s="272"/>
      <c r="D83" s="273">
        <f>SUM(E56:E79)+SUM(L59:L88)+SUM(M58:O71)+SUM(N59:N71)+SUM(O59:O71)+SUM(Q59:Q64)+SUM(R58:R64)</f>
        <v>128</v>
      </c>
      <c r="E83" s="273"/>
      <c r="F83" s="189"/>
      <c r="G83" s="189"/>
      <c r="H83" s="189"/>
      <c r="I83" s="189"/>
      <c r="J83" s="189"/>
      <c r="K83" s="189"/>
      <c r="L83" s="189"/>
      <c r="M83" s="189"/>
      <c r="N83" s="189"/>
      <c r="O83" s="189"/>
      <c r="P83" s="189"/>
      <c r="Q83" s="189"/>
      <c r="R83" s="189"/>
      <c r="S83" s="189"/>
    </row>
    <row r="84" spans="2:19" ht="13.5" customHeight="1">
      <c r="B84" s="189"/>
      <c r="C84" s="189"/>
      <c r="D84" s="189"/>
      <c r="E84" s="189"/>
      <c r="F84" s="189"/>
      <c r="G84" s="189"/>
      <c r="H84" s="189" t="s">
        <v>55</v>
      </c>
      <c r="I84" s="189"/>
      <c r="J84" s="189"/>
      <c r="K84" s="189"/>
      <c r="L84" s="269">
        <f>IF(ISBLANK(K46),1,IF(K46&lt;(K10-K45)-1.5,1,IF(K46&gt;(K10-K45)+1.5,1," ")))</f>
        <v>1</v>
      </c>
      <c r="M84" s="209" t="str">
        <f>IF(L84=1,"fout"," ")</f>
        <v>fout</v>
      </c>
      <c r="N84" s="189"/>
      <c r="O84" s="189"/>
      <c r="P84" s="189"/>
      <c r="Q84" s="189"/>
      <c r="R84" s="189"/>
      <c r="S84" s="189"/>
    </row>
    <row r="85" spans="2:19" ht="11.25">
      <c r="B85" s="189"/>
      <c r="C85" s="189"/>
      <c r="D85" s="189"/>
      <c r="E85" s="189"/>
      <c r="F85" s="189"/>
      <c r="G85" s="189"/>
      <c r="H85" s="189" t="s">
        <v>53</v>
      </c>
      <c r="I85" s="189"/>
      <c r="J85" s="189"/>
      <c r="K85" s="189"/>
      <c r="L85" s="269">
        <f>IF(ISBLANK(K47),1,IF(K47&lt;SUM(K39:K41)-1.5,1,IF(K47&gt;SUM(K39:K41)+1.5,1," ")))</f>
        <v>1</v>
      </c>
      <c r="M85" s="209" t="str">
        <f>IF(L85=1,"fout"," ")</f>
        <v>fout</v>
      </c>
      <c r="N85" s="189"/>
      <c r="O85" s="189"/>
      <c r="P85" s="189"/>
      <c r="Q85" s="189"/>
      <c r="R85" s="189"/>
      <c r="S85" s="189"/>
    </row>
    <row r="86" spans="2:19" ht="11.25">
      <c r="B86" s="189"/>
      <c r="C86" s="189"/>
      <c r="D86" s="189"/>
      <c r="E86" s="189"/>
      <c r="F86" s="189"/>
      <c r="G86" s="189"/>
      <c r="H86" s="189" t="s">
        <v>54</v>
      </c>
      <c r="I86" s="189"/>
      <c r="J86" s="189"/>
      <c r="K86" s="189"/>
      <c r="L86" s="269">
        <f>IF(ISBLANK(K48),1,IF(K48&lt;K46+K47-1.5,1,IF(K48&gt;K46+K47+1.5,1," ")))</f>
        <v>1</v>
      </c>
      <c r="M86" s="209" t="str">
        <f>IF(L86=1,"fout"," ")</f>
        <v>fout</v>
      </c>
      <c r="N86" s="189"/>
      <c r="O86" s="189"/>
      <c r="P86" s="189"/>
      <c r="Q86" s="189"/>
      <c r="R86" s="189"/>
      <c r="S86" s="189"/>
    </row>
    <row r="87" spans="2:19" ht="11.25">
      <c r="B87" s="189"/>
      <c r="C87" s="189"/>
      <c r="D87" s="189"/>
      <c r="E87" s="189"/>
      <c r="F87" s="189"/>
      <c r="G87" s="189"/>
      <c r="H87" s="189" t="s">
        <v>56</v>
      </c>
      <c r="I87" s="189"/>
      <c r="J87" s="189"/>
      <c r="K87" s="189"/>
      <c r="L87" s="269">
        <f>IF(ISBLANK(K49),1,IF(K49&lt;M45-1.5,1,IF(K49&gt;M45+1.5,1," ")))</f>
        <v>1</v>
      </c>
      <c r="M87" s="209" t="str">
        <f>IF(L87=1,"fout"," ")</f>
        <v>fout</v>
      </c>
      <c r="N87" s="189"/>
      <c r="O87" s="189"/>
      <c r="P87" s="189"/>
      <c r="Q87" s="189"/>
      <c r="R87" s="189"/>
      <c r="S87" s="189"/>
    </row>
    <row r="88" spans="2:19" ht="11.25">
      <c r="B88" s="189"/>
      <c r="C88" s="189"/>
      <c r="D88" s="189"/>
      <c r="E88" s="189"/>
      <c r="F88" s="189"/>
      <c r="G88" s="189"/>
      <c r="H88" s="189" t="s">
        <v>193</v>
      </c>
      <c r="I88" s="189"/>
      <c r="J88" s="189"/>
      <c r="K88" s="189"/>
      <c r="L88" s="269">
        <f>IF(ISBLANK(K50),1,IF(K50&lt;K48+K49-1.5,1,IF(K50&gt;K48+K49+1.5,1," ")))</f>
        <v>1</v>
      </c>
      <c r="M88" s="209" t="str">
        <f>IF(L88=1,"fout"," ")</f>
        <v>fout</v>
      </c>
      <c r="N88" s="189"/>
      <c r="O88" s="189"/>
      <c r="P88" s="189"/>
      <c r="Q88" s="189"/>
      <c r="R88" s="189"/>
      <c r="S88" s="189"/>
    </row>
    <row r="89" spans="2:19" ht="10.5">
      <c r="B89" s="189"/>
      <c r="C89" s="189"/>
      <c r="D89" s="189"/>
      <c r="E89" s="189"/>
      <c r="F89" s="189"/>
      <c r="G89" s="189"/>
      <c r="H89" s="189"/>
      <c r="I89" s="189"/>
      <c r="J89" s="189"/>
      <c r="K89" s="189"/>
      <c r="L89" s="189"/>
      <c r="M89" s="189"/>
      <c r="N89" s="189"/>
      <c r="O89" s="189"/>
      <c r="P89" s="189"/>
      <c r="Q89" s="189"/>
      <c r="R89" s="189"/>
      <c r="S89" s="189"/>
    </row>
    <row r="90" spans="2:19" ht="10.5">
      <c r="B90" s="189"/>
      <c r="C90" s="189"/>
      <c r="D90" s="189"/>
      <c r="E90" s="189"/>
      <c r="F90" s="189"/>
      <c r="G90" s="189"/>
      <c r="H90" s="189"/>
      <c r="I90" s="189"/>
      <c r="J90" s="189"/>
      <c r="K90" s="189"/>
      <c r="L90" s="189"/>
      <c r="M90" s="189"/>
      <c r="N90" s="189"/>
      <c r="O90" s="189"/>
      <c r="P90" s="189"/>
      <c r="Q90" s="189"/>
      <c r="R90" s="189"/>
      <c r="S90" s="189"/>
    </row>
    <row r="91" spans="2:19" ht="10.5">
      <c r="B91" s="189"/>
      <c r="C91" s="189"/>
      <c r="D91" s="189"/>
      <c r="E91" s="189"/>
      <c r="F91" s="189"/>
      <c r="G91" s="189"/>
      <c r="H91" s="189"/>
      <c r="I91" s="189"/>
      <c r="J91" s="189"/>
      <c r="K91" s="189"/>
      <c r="L91" s="189"/>
      <c r="M91" s="189"/>
      <c r="N91" s="189"/>
      <c r="O91" s="189"/>
      <c r="P91" s="189"/>
      <c r="Q91" s="189"/>
      <c r="R91" s="189"/>
      <c r="S91" s="189"/>
    </row>
    <row r="92" spans="2:19" ht="10.5">
      <c r="B92" s="189"/>
      <c r="C92" s="189"/>
      <c r="D92" s="189"/>
      <c r="E92" s="189"/>
      <c r="F92" s="189"/>
      <c r="G92" s="189"/>
      <c r="H92" s="189"/>
      <c r="I92" s="189"/>
      <c r="J92" s="189"/>
      <c r="K92" s="189"/>
      <c r="L92" s="189"/>
      <c r="M92" s="189"/>
      <c r="N92" s="189"/>
      <c r="O92" s="189"/>
      <c r="P92" s="189"/>
      <c r="Q92" s="189"/>
      <c r="R92" s="189"/>
      <c r="S92" s="189"/>
    </row>
    <row r="93" spans="2:19" ht="10.5">
      <c r="B93" s="189"/>
      <c r="C93" s="189"/>
      <c r="D93" s="189"/>
      <c r="E93" s="189"/>
      <c r="F93" s="189"/>
      <c r="G93" s="189"/>
      <c r="H93" s="189"/>
      <c r="I93" s="189"/>
      <c r="J93" s="189"/>
      <c r="K93" s="189"/>
      <c r="L93" s="189"/>
      <c r="M93" s="189"/>
      <c r="N93" s="189"/>
      <c r="O93" s="189"/>
      <c r="P93" s="189"/>
      <c r="Q93" s="189"/>
      <c r="R93" s="189"/>
      <c r="S93" s="189"/>
    </row>
    <row r="94" spans="2:19" ht="10.5">
      <c r="B94" s="189"/>
      <c r="C94" s="189"/>
      <c r="D94" s="189"/>
      <c r="E94" s="189"/>
      <c r="F94" s="189"/>
      <c r="G94" s="189"/>
      <c r="H94" s="189"/>
      <c r="I94" s="189"/>
      <c r="J94" s="189"/>
      <c r="K94" s="189"/>
      <c r="L94" s="189"/>
      <c r="M94" s="189"/>
      <c r="N94" s="189"/>
      <c r="O94" s="189"/>
      <c r="P94" s="189"/>
      <c r="Q94" s="189"/>
      <c r="R94" s="189"/>
      <c r="S94" s="189"/>
    </row>
    <row r="95" spans="2:19" ht="10.5">
      <c r="B95" s="189"/>
      <c r="C95" s="189"/>
      <c r="D95" s="189"/>
      <c r="E95" s="189"/>
      <c r="F95" s="189"/>
      <c r="G95" s="189"/>
      <c r="H95" s="189"/>
      <c r="I95" s="189"/>
      <c r="J95" s="189"/>
      <c r="K95" s="189"/>
      <c r="L95" s="189"/>
      <c r="M95" s="189"/>
      <c r="N95" s="189"/>
      <c r="O95" s="189"/>
      <c r="P95" s="189"/>
      <c r="Q95" s="189"/>
      <c r="R95" s="189"/>
      <c r="S95" s="189"/>
    </row>
    <row r="96" spans="2:19" ht="10.5">
      <c r="B96" s="189"/>
      <c r="C96" s="189"/>
      <c r="D96" s="189"/>
      <c r="E96" s="189"/>
      <c r="F96" s="189"/>
      <c r="G96" s="189"/>
      <c r="H96" s="189"/>
      <c r="I96" s="189"/>
      <c r="J96" s="189"/>
      <c r="K96" s="189"/>
      <c r="L96" s="189"/>
      <c r="M96" s="189"/>
      <c r="N96" s="189"/>
      <c r="O96" s="189"/>
      <c r="P96" s="189"/>
      <c r="Q96" s="189"/>
      <c r="R96" s="189"/>
      <c r="S96" s="189"/>
    </row>
    <row r="97" s="189" customFormat="1" ht="10.5"/>
    <row r="98" s="189" customFormat="1" ht="10.5"/>
    <row r="99" s="189" customFormat="1" ht="10.5"/>
    <row r="100" s="189" customFormat="1" ht="10.5"/>
    <row r="101" s="189" customFormat="1" ht="10.5"/>
    <row r="102" s="189" customFormat="1" ht="10.5"/>
    <row r="103" s="189" customFormat="1" ht="10.5"/>
    <row r="104" s="189" customFormat="1" ht="10.5"/>
    <row r="105" s="189" customFormat="1" ht="10.5"/>
    <row r="106" s="189" customFormat="1" ht="10.5"/>
    <row r="107" s="189" customFormat="1" ht="10.5"/>
    <row r="108" s="189" customFormat="1" ht="10.5"/>
    <row r="109" s="189" customFormat="1" ht="10.5"/>
    <row r="110" s="189" customFormat="1" ht="10.5"/>
    <row r="111" s="189" customFormat="1" ht="10.5"/>
    <row r="112" s="189" customFormat="1" ht="10.5"/>
    <row r="113" s="189" customFormat="1" ht="10.5"/>
    <row r="114" s="189" customFormat="1" ht="10.5"/>
    <row r="115" s="189" customFormat="1" ht="10.5"/>
    <row r="116" s="189" customFormat="1" ht="10.5"/>
    <row r="117" s="189" customFormat="1" ht="10.5"/>
    <row r="118" s="189" customFormat="1" ht="10.5"/>
    <row r="119" s="189" customFormat="1" ht="10.5"/>
    <row r="120" s="189" customFormat="1" ht="10.5"/>
    <row r="121" s="189" customFormat="1" ht="10.5"/>
    <row r="122" s="189" customFormat="1" ht="10.5"/>
    <row r="123" s="189" customFormat="1" ht="10.5"/>
    <row r="124" s="189" customFormat="1" ht="10.5"/>
    <row r="125" s="189" customFormat="1" ht="10.5"/>
    <row r="126" s="189" customFormat="1" ht="10.5"/>
    <row r="127" s="189" customFormat="1" ht="10.5"/>
    <row r="128" s="189" customFormat="1" ht="10.5"/>
    <row r="129" s="189" customFormat="1" ht="10.5"/>
    <row r="130" s="189" customFormat="1" ht="10.5"/>
    <row r="131" s="189" customFormat="1" ht="10.5"/>
    <row r="132" s="189" customFormat="1" ht="10.5"/>
    <row r="133" s="189" customFormat="1" ht="10.5"/>
    <row r="134" s="189" customFormat="1" ht="10.5"/>
    <row r="135" s="189" customFormat="1" ht="10.5"/>
    <row r="136" s="189" customFormat="1" ht="10.5"/>
    <row r="137" s="189" customFormat="1" ht="10.5"/>
    <row r="138" s="189" customFormat="1" ht="10.5"/>
    <row r="139" s="189" customFormat="1" ht="10.5"/>
    <row r="140" s="189" customFormat="1" ht="10.5"/>
    <row r="141" s="189" customFormat="1" ht="10.5"/>
    <row r="142" s="189" customFormat="1" ht="10.5"/>
    <row r="143" s="189" customFormat="1" ht="10.5"/>
    <row r="144" s="189" customFormat="1" ht="10.5"/>
    <row r="145" s="189" customFormat="1" ht="10.5"/>
    <row r="146" s="189" customFormat="1" ht="10.5"/>
    <row r="147" s="189" customFormat="1" ht="10.5"/>
    <row r="148" s="189" customFormat="1" ht="10.5"/>
    <row r="149" s="189" customFormat="1" ht="10.5"/>
    <row r="150" s="189" customFormat="1" ht="10.5"/>
    <row r="151" s="189" customFormat="1" ht="10.5"/>
    <row r="152" s="189" customFormat="1" ht="10.5"/>
    <row r="153" s="189" customFormat="1" ht="10.5"/>
    <row r="154" s="189" customFormat="1" ht="10.5"/>
    <row r="155" s="189" customFormat="1" ht="10.5"/>
    <row r="156" s="189" customFormat="1" ht="10.5"/>
    <row r="157" s="189" customFormat="1" ht="10.5"/>
    <row r="158" s="189" customFormat="1" ht="10.5"/>
    <row r="159" s="189" customFormat="1" ht="10.5"/>
    <row r="160" s="189" customFormat="1" ht="10.5"/>
    <row r="161" s="189" customFormat="1" ht="10.5"/>
    <row r="162" s="189" customFormat="1" ht="10.5"/>
    <row r="163" s="189" customFormat="1" ht="10.5"/>
    <row r="164" s="189" customFormat="1" ht="10.5"/>
    <row r="165" s="189" customFormat="1" ht="10.5"/>
    <row r="166" s="189" customFormat="1" ht="10.5"/>
    <row r="167" s="189" customFormat="1" ht="10.5"/>
    <row r="168" s="189" customFormat="1" ht="10.5"/>
    <row r="169" s="189" customFormat="1" ht="10.5"/>
    <row r="170" s="189" customFormat="1" ht="10.5"/>
    <row r="171" s="189" customFormat="1" ht="10.5"/>
    <row r="172" s="189" customFormat="1" ht="10.5"/>
    <row r="173" s="189" customFormat="1" ht="10.5"/>
    <row r="174" s="189" customFormat="1" ht="10.5"/>
    <row r="175" s="189" customFormat="1" ht="10.5"/>
    <row r="176" s="189" customFormat="1" ht="10.5"/>
    <row r="177" s="189" customFormat="1" ht="10.5"/>
    <row r="178" s="189" customFormat="1" ht="10.5"/>
    <row r="179" s="189" customFormat="1" ht="10.5"/>
    <row r="180" s="189" customFormat="1" ht="10.5"/>
    <row r="181" s="189" customFormat="1" ht="10.5"/>
    <row r="182" s="189" customFormat="1" ht="10.5"/>
    <row r="183" s="189" customFormat="1" ht="10.5"/>
    <row r="184" s="189" customFormat="1" ht="10.5"/>
    <row r="185" s="189" customFormat="1" ht="10.5"/>
    <row r="186" s="189" customFormat="1" ht="10.5"/>
    <row r="187" s="189" customFormat="1" ht="10.5"/>
    <row r="188" s="189" customFormat="1" ht="10.5"/>
    <row r="189" s="189" customFormat="1" ht="10.5"/>
    <row r="190" s="189" customFormat="1" ht="10.5"/>
    <row r="191" s="189" customFormat="1" ht="10.5"/>
    <row r="192" s="189" customFormat="1" ht="10.5"/>
    <row r="193" s="189" customFormat="1" ht="10.5"/>
    <row r="194" s="189" customFormat="1" ht="10.5"/>
    <row r="195" s="189" customFormat="1" ht="10.5"/>
    <row r="196" s="189" customFormat="1" ht="10.5"/>
    <row r="197" s="189" customFormat="1" ht="10.5"/>
    <row r="198" s="189" customFormat="1" ht="10.5"/>
    <row r="199" s="189" customFormat="1" ht="10.5"/>
    <row r="200" s="189" customFormat="1" ht="10.5"/>
    <row r="201" s="189" customFormat="1" ht="10.5"/>
    <row r="202" s="189" customFormat="1" ht="10.5"/>
    <row r="203" s="189" customFormat="1" ht="10.5"/>
    <row r="204" s="189" customFormat="1" ht="10.5"/>
    <row r="205" s="189" customFormat="1" ht="10.5"/>
    <row r="206" s="189" customFormat="1" ht="10.5"/>
    <row r="207" s="189" customFormat="1" ht="10.5"/>
    <row r="208" s="189" customFormat="1" ht="10.5"/>
    <row r="209" s="189" customFormat="1" ht="10.5"/>
    <row r="210" s="189" customFormat="1" ht="10.5"/>
    <row r="211" s="189" customFormat="1" ht="10.5"/>
    <row r="212" s="189" customFormat="1" ht="10.5"/>
    <row r="213" s="189" customFormat="1" ht="10.5"/>
    <row r="214" s="189" customFormat="1" ht="10.5"/>
    <row r="215" s="189" customFormat="1" ht="10.5"/>
    <row r="216" s="189" customFormat="1" ht="10.5"/>
    <row r="217" s="189" customFormat="1" ht="10.5"/>
    <row r="218" s="189" customFormat="1" ht="10.5"/>
    <row r="219" s="189" customFormat="1" ht="10.5"/>
    <row r="220" s="189" customFormat="1" ht="10.5"/>
    <row r="221" s="189" customFormat="1" ht="10.5"/>
    <row r="222" s="189" customFormat="1" ht="10.5"/>
    <row r="223" s="189" customFormat="1" ht="10.5"/>
    <row r="224" s="189" customFormat="1" ht="10.5"/>
    <row r="225" s="189" customFormat="1" ht="10.5"/>
    <row r="226" s="189" customFormat="1" ht="10.5"/>
    <row r="227" s="189" customFormat="1" ht="10.5"/>
    <row r="228" s="189" customFormat="1" ht="10.5"/>
    <row r="229" s="189" customFormat="1" ht="10.5"/>
    <row r="230" s="189" customFormat="1" ht="10.5"/>
    <row r="231" s="189" customFormat="1" ht="10.5"/>
    <row r="232" s="189" customFormat="1" ht="10.5"/>
    <row r="233" s="189" customFormat="1" ht="10.5"/>
    <row r="234" s="189" customFormat="1" ht="10.5"/>
    <row r="235" s="189" customFormat="1" ht="10.5"/>
    <row r="236" s="189" customFormat="1" ht="10.5"/>
    <row r="237" s="189" customFormat="1" ht="10.5"/>
    <row r="238" s="189" customFormat="1" ht="10.5"/>
    <row r="239" s="189" customFormat="1" ht="10.5"/>
    <row r="240" s="189" customFormat="1" ht="10.5"/>
    <row r="241" s="189" customFormat="1" ht="10.5"/>
    <row r="242" s="189" customFormat="1" ht="10.5"/>
    <row r="243" s="189" customFormat="1" ht="10.5"/>
    <row r="244" s="189" customFormat="1" ht="10.5"/>
    <row r="245" s="189" customFormat="1" ht="10.5"/>
    <row r="246" s="189" customFormat="1" ht="10.5"/>
    <row r="247" s="189" customFormat="1" ht="10.5"/>
    <row r="248" s="189" customFormat="1" ht="10.5"/>
    <row r="249" s="189" customFormat="1" ht="10.5"/>
    <row r="250" s="189" customFormat="1" ht="10.5"/>
    <row r="251" s="189" customFormat="1" ht="10.5"/>
    <row r="252" s="189" customFormat="1" ht="10.5"/>
    <row r="253" s="189" customFormat="1" ht="10.5"/>
    <row r="254" s="189" customFormat="1" ht="10.5"/>
    <row r="255" s="189" customFormat="1" ht="10.5"/>
    <row r="256" s="189" customFormat="1" ht="10.5"/>
    <row r="257" s="189" customFormat="1" ht="10.5"/>
    <row r="258" s="189" customFormat="1" ht="10.5"/>
    <row r="259" s="189" customFormat="1" ht="10.5"/>
    <row r="260" s="189" customFormat="1" ht="10.5"/>
    <row r="261" s="189" customFormat="1" ht="10.5"/>
    <row r="262" s="189" customFormat="1" ht="10.5"/>
    <row r="263" s="189" customFormat="1" ht="10.5"/>
    <row r="264" s="189" customFormat="1" ht="10.5"/>
    <row r="265" s="189" customFormat="1" ht="10.5"/>
    <row r="266" s="189" customFormat="1" ht="10.5"/>
    <row r="267" s="189" customFormat="1" ht="10.5"/>
    <row r="268" s="189" customFormat="1" ht="10.5"/>
    <row r="269" s="189" customFormat="1" ht="10.5"/>
    <row r="270" s="189" customFormat="1" ht="10.5"/>
    <row r="271" s="189" customFormat="1" ht="10.5"/>
    <row r="272" s="189" customFormat="1" ht="10.5"/>
    <row r="273" s="189" customFormat="1" ht="10.5"/>
    <row r="274" s="189" customFormat="1" ht="10.5"/>
    <row r="275" s="189" customFormat="1" ht="10.5"/>
    <row r="276" s="189" customFormat="1" ht="10.5"/>
    <row r="277" s="189" customFormat="1" ht="10.5"/>
    <row r="278" s="189" customFormat="1" ht="10.5"/>
    <row r="279" s="189" customFormat="1" ht="10.5"/>
    <row r="280" s="189" customFormat="1" ht="10.5"/>
    <row r="281" s="189" customFormat="1" ht="10.5"/>
    <row r="282" s="189" customFormat="1" ht="10.5"/>
    <row r="283" s="189" customFormat="1" ht="10.5"/>
    <row r="284" s="189" customFormat="1" ht="10.5"/>
    <row r="285" s="189" customFormat="1" ht="10.5"/>
    <row r="286" s="189" customFormat="1" ht="10.5"/>
    <row r="287" s="189" customFormat="1" ht="10.5"/>
    <row r="288" s="189" customFormat="1" ht="10.5"/>
    <row r="289" s="189" customFormat="1" ht="10.5"/>
    <row r="290" s="189" customFormat="1" ht="10.5"/>
    <row r="291" s="189" customFormat="1" ht="10.5"/>
    <row r="292" s="189" customFormat="1" ht="10.5"/>
    <row r="293" s="189" customFormat="1" ht="10.5"/>
    <row r="294" s="189" customFormat="1" ht="10.5"/>
    <row r="295" s="189" customFormat="1" ht="10.5"/>
    <row r="296" s="189" customFormat="1" ht="10.5"/>
    <row r="297" s="189" customFormat="1" ht="10.5"/>
    <row r="298" s="189" customFormat="1" ht="10.5"/>
    <row r="299" s="189" customFormat="1" ht="10.5"/>
    <row r="300" s="189" customFormat="1" ht="10.5"/>
    <row r="301" s="189" customFormat="1" ht="10.5"/>
    <row r="302" s="189" customFormat="1" ht="10.5"/>
    <row r="303" s="189" customFormat="1" ht="10.5"/>
    <row r="304" s="189" customFormat="1" ht="10.5"/>
    <row r="305" s="189" customFormat="1" ht="10.5"/>
    <row r="306" s="189" customFormat="1" ht="10.5"/>
    <row r="307" s="189" customFormat="1" ht="10.5"/>
    <row r="308" s="189" customFormat="1" ht="10.5"/>
    <row r="309" s="189" customFormat="1" ht="10.5"/>
    <row r="310" s="189" customFormat="1" ht="10.5"/>
    <row r="311" s="189" customFormat="1" ht="10.5"/>
    <row r="312" s="189" customFormat="1" ht="10.5"/>
    <row r="313" s="189" customFormat="1" ht="10.5"/>
    <row r="314" s="189" customFormat="1" ht="10.5"/>
    <row r="315" s="189" customFormat="1" ht="10.5"/>
    <row r="316" s="189" customFormat="1" ht="10.5"/>
    <row r="317" s="189" customFormat="1" ht="10.5"/>
    <row r="318" s="189" customFormat="1" ht="10.5"/>
    <row r="319" s="189" customFormat="1" ht="10.5"/>
    <row r="320" s="189" customFormat="1" ht="10.5"/>
    <row r="321" s="189" customFormat="1" ht="10.5"/>
    <row r="322" s="189" customFormat="1" ht="10.5"/>
    <row r="323" s="189" customFormat="1" ht="10.5"/>
    <row r="324" s="189" customFormat="1" ht="10.5"/>
    <row r="325" s="189" customFormat="1" ht="10.5"/>
    <row r="326" s="189" customFormat="1" ht="10.5"/>
    <row r="327" s="189" customFormat="1" ht="10.5"/>
    <row r="328" s="189" customFormat="1" ht="10.5"/>
    <row r="329" s="189" customFormat="1" ht="10.5"/>
    <row r="330" s="189" customFormat="1" ht="10.5"/>
    <row r="331" s="189" customFormat="1" ht="10.5"/>
    <row r="332" s="189" customFormat="1" ht="10.5"/>
    <row r="333" s="189" customFormat="1" ht="10.5"/>
    <row r="334" s="189" customFormat="1" ht="10.5"/>
    <row r="335" s="189" customFormat="1" ht="10.5"/>
    <row r="336" s="189" customFormat="1" ht="10.5"/>
    <row r="337" s="189" customFormat="1" ht="10.5"/>
    <row r="338" s="189" customFormat="1" ht="10.5"/>
    <row r="339" s="189" customFormat="1" ht="10.5"/>
    <row r="340" s="189" customFormat="1" ht="10.5"/>
    <row r="341" s="189" customFormat="1" ht="10.5"/>
    <row r="342" s="189" customFormat="1" ht="10.5"/>
    <row r="343" s="189" customFormat="1" ht="10.5"/>
    <row r="344" s="189" customFormat="1" ht="10.5"/>
    <row r="345" s="189" customFormat="1" ht="10.5"/>
    <row r="346" s="189" customFormat="1" ht="10.5"/>
    <row r="347" s="189" customFormat="1" ht="10.5"/>
    <row r="348" s="189" customFormat="1" ht="10.5"/>
    <row r="349" s="189" customFormat="1" ht="10.5"/>
    <row r="350" s="189" customFormat="1" ht="10.5"/>
    <row r="351" s="189" customFormat="1" ht="10.5"/>
    <row r="352" s="189" customFormat="1" ht="10.5"/>
    <row r="353" s="189" customFormat="1" ht="10.5"/>
    <row r="354" s="189" customFormat="1" ht="10.5"/>
    <row r="355" s="189" customFormat="1" ht="10.5"/>
    <row r="356" s="189" customFormat="1" ht="10.5"/>
    <row r="357" s="189" customFormat="1" ht="10.5"/>
    <row r="358" s="189" customFormat="1" ht="10.5"/>
    <row r="359" s="189" customFormat="1" ht="10.5"/>
    <row r="360" s="189" customFormat="1" ht="10.5"/>
    <row r="361" s="189" customFormat="1" ht="10.5"/>
    <row r="362" s="189" customFormat="1" ht="10.5"/>
    <row r="363" s="189" customFormat="1" ht="10.5"/>
    <row r="364" s="189" customFormat="1" ht="10.5"/>
    <row r="365" s="189" customFormat="1" ht="10.5"/>
    <row r="366" s="189" customFormat="1" ht="10.5"/>
    <row r="367" s="189" customFormat="1" ht="10.5"/>
    <row r="368" s="189" customFormat="1" ht="10.5"/>
    <row r="369" s="189" customFormat="1" ht="10.5"/>
    <row r="370" s="189" customFormat="1" ht="10.5"/>
    <row r="371" s="189" customFormat="1" ht="10.5"/>
    <row r="372" s="189" customFormat="1" ht="10.5"/>
    <row r="373" s="189" customFormat="1" ht="10.5"/>
    <row r="374" s="189" customFormat="1" ht="10.5"/>
    <row r="375" s="189" customFormat="1" ht="10.5"/>
    <row r="376" s="189" customFormat="1" ht="10.5"/>
    <row r="377" s="189" customFormat="1" ht="10.5"/>
    <row r="378" s="189" customFormat="1" ht="10.5"/>
    <row r="379" s="189" customFormat="1" ht="10.5"/>
    <row r="380" s="189" customFormat="1" ht="10.5"/>
    <row r="381" s="189" customFormat="1" ht="10.5"/>
    <row r="382" s="189" customFormat="1" ht="10.5"/>
    <row r="383" s="189" customFormat="1" ht="10.5"/>
    <row r="384" s="189" customFormat="1" ht="10.5"/>
    <row r="385" s="189" customFormat="1" ht="10.5"/>
    <row r="386" s="189" customFormat="1" ht="10.5"/>
    <row r="387" s="189" customFormat="1" ht="10.5"/>
    <row r="388" s="189" customFormat="1" ht="10.5"/>
    <row r="389" s="189" customFormat="1" ht="10.5"/>
    <row r="390" s="189" customFormat="1" ht="10.5"/>
    <row r="391" s="189" customFormat="1" ht="10.5"/>
    <row r="392" s="189" customFormat="1" ht="10.5"/>
    <row r="393" s="189" customFormat="1" ht="10.5"/>
    <row r="394" s="189" customFormat="1" ht="10.5"/>
    <row r="395" s="189" customFormat="1" ht="10.5"/>
    <row r="396" s="189" customFormat="1" ht="10.5"/>
    <row r="397" s="189" customFormat="1" ht="10.5"/>
    <row r="398" s="189" customFormat="1" ht="10.5"/>
    <row r="399" s="189" customFormat="1" ht="10.5"/>
    <row r="400" s="189" customFormat="1" ht="10.5"/>
    <row r="401" s="189" customFormat="1" ht="10.5"/>
    <row r="402" s="189" customFormat="1" ht="10.5"/>
    <row r="403" s="189" customFormat="1" ht="10.5"/>
    <row r="404" s="189" customFormat="1" ht="10.5"/>
    <row r="405" s="189" customFormat="1" ht="10.5"/>
    <row r="406" s="189" customFormat="1" ht="10.5"/>
    <row r="407" s="189" customFormat="1" ht="10.5"/>
    <row r="408" s="189" customFormat="1" ht="10.5"/>
    <row r="409" s="189" customFormat="1" ht="10.5"/>
    <row r="410" s="189" customFormat="1" ht="10.5"/>
    <row r="411" s="189" customFormat="1" ht="10.5"/>
    <row r="412" s="189" customFormat="1" ht="10.5"/>
    <row r="413" s="189" customFormat="1" ht="10.5"/>
    <row r="414" s="189" customFormat="1" ht="10.5"/>
    <row r="415" s="189" customFormat="1" ht="10.5"/>
    <row r="416" s="189" customFormat="1" ht="10.5"/>
    <row r="417" s="189" customFormat="1" ht="10.5"/>
    <row r="418" s="189" customFormat="1" ht="10.5"/>
    <row r="419" s="189" customFormat="1" ht="10.5"/>
    <row r="420" s="189" customFormat="1" ht="10.5"/>
    <row r="421" s="189" customFormat="1" ht="10.5"/>
    <row r="422" s="189" customFormat="1" ht="10.5"/>
    <row r="423" s="189" customFormat="1" ht="10.5"/>
    <row r="424" s="189" customFormat="1" ht="10.5"/>
    <row r="425" s="189" customFormat="1" ht="10.5"/>
    <row r="426" s="189" customFormat="1" ht="10.5"/>
    <row r="427" s="189" customFormat="1" ht="10.5"/>
    <row r="428" s="189" customFormat="1" ht="10.5"/>
    <row r="429" s="189" customFormat="1" ht="10.5"/>
    <row r="430" s="189" customFormat="1" ht="10.5"/>
    <row r="431" s="189" customFormat="1" ht="10.5"/>
    <row r="432" s="189" customFormat="1" ht="10.5"/>
    <row r="433" s="189" customFormat="1" ht="10.5"/>
    <row r="434" s="189" customFormat="1" ht="10.5"/>
    <row r="435" s="189" customFormat="1" ht="10.5"/>
    <row r="436" s="189" customFormat="1" ht="10.5"/>
    <row r="437" s="189" customFormat="1" ht="10.5"/>
    <row r="438" s="189" customFormat="1" ht="10.5"/>
    <row r="439" s="189" customFormat="1" ht="10.5"/>
    <row r="440" s="189" customFormat="1" ht="10.5"/>
    <row r="441" s="189" customFormat="1" ht="10.5"/>
    <row r="442" s="189" customFormat="1" ht="10.5"/>
    <row r="443" s="189" customFormat="1" ht="10.5"/>
    <row r="444" s="189" customFormat="1" ht="10.5"/>
    <row r="445" s="189" customFormat="1" ht="10.5"/>
    <row r="446" s="189" customFormat="1" ht="10.5"/>
    <row r="447" s="189" customFormat="1" ht="10.5"/>
    <row r="448" s="189" customFormat="1" ht="10.5"/>
    <row r="449" s="189" customFormat="1" ht="10.5"/>
    <row r="450" s="189" customFormat="1" ht="10.5"/>
    <row r="451" s="189" customFormat="1" ht="10.5"/>
    <row r="452" s="189" customFormat="1" ht="10.5"/>
    <row r="453" s="189" customFormat="1" ht="10.5"/>
    <row r="454" s="189" customFormat="1" ht="10.5"/>
    <row r="455" s="189" customFormat="1" ht="10.5"/>
    <row r="456" s="189" customFormat="1" ht="10.5"/>
    <row r="457" s="189" customFormat="1" ht="10.5"/>
    <row r="458" s="189" customFormat="1" ht="10.5"/>
    <row r="459" s="189" customFormat="1" ht="10.5"/>
    <row r="460" s="189" customFormat="1" ht="10.5"/>
    <row r="461" s="189" customFormat="1" ht="10.5"/>
    <row r="462" s="189" customFormat="1" ht="10.5"/>
    <row r="463" s="189" customFormat="1" ht="10.5"/>
    <row r="464" s="189" customFormat="1" ht="10.5"/>
    <row r="465" s="189" customFormat="1" ht="10.5"/>
    <row r="466" s="189" customFormat="1" ht="10.5"/>
    <row r="467" s="189" customFormat="1" ht="10.5"/>
    <row r="468" s="189" customFormat="1" ht="10.5"/>
    <row r="469" s="189" customFormat="1" ht="10.5"/>
    <row r="470" s="189" customFormat="1" ht="10.5"/>
    <row r="471" s="189" customFormat="1" ht="10.5"/>
    <row r="472" s="189" customFormat="1" ht="10.5"/>
    <row r="473" s="189" customFormat="1" ht="10.5"/>
    <row r="474" s="189" customFormat="1" ht="10.5"/>
    <row r="475" s="189" customFormat="1" ht="10.5"/>
    <row r="476" s="189" customFormat="1" ht="10.5"/>
    <row r="477" s="189" customFormat="1" ht="10.5"/>
    <row r="478" s="189" customFormat="1" ht="10.5"/>
    <row r="479" s="189" customFormat="1" ht="10.5"/>
    <row r="480" s="189" customFormat="1" ht="10.5"/>
    <row r="481" s="189" customFormat="1" ht="10.5"/>
    <row r="482" s="189" customFormat="1" ht="10.5"/>
    <row r="483" spans="2:18" ht="10.5">
      <c r="B483" s="189"/>
      <c r="C483" s="189"/>
      <c r="D483" s="189"/>
      <c r="E483" s="189"/>
      <c r="F483" s="189"/>
      <c r="H483" s="189"/>
      <c r="I483" s="189"/>
      <c r="J483" s="189"/>
      <c r="K483" s="189"/>
      <c r="L483" s="189"/>
      <c r="M483" s="189"/>
      <c r="N483" s="189"/>
      <c r="O483" s="189"/>
      <c r="P483" s="189"/>
      <c r="Q483" s="189"/>
      <c r="R483" s="189"/>
    </row>
    <row r="484" spans="2:18" ht="10.5">
      <c r="B484" s="189"/>
      <c r="C484" s="189"/>
      <c r="D484" s="189"/>
      <c r="E484" s="189"/>
      <c r="F484" s="189"/>
      <c r="H484" s="189"/>
      <c r="I484" s="189"/>
      <c r="J484" s="189"/>
      <c r="K484" s="189"/>
      <c r="L484" s="189"/>
      <c r="M484" s="189"/>
      <c r="N484" s="189"/>
      <c r="O484" s="189"/>
      <c r="P484" s="189"/>
      <c r="Q484" s="189"/>
      <c r="R484" s="189"/>
    </row>
    <row r="485" spans="2:18" ht="10.5">
      <c r="B485" s="189"/>
      <c r="C485" s="189"/>
      <c r="D485" s="189"/>
      <c r="E485" s="189"/>
      <c r="F485" s="189"/>
      <c r="H485" s="189"/>
      <c r="I485" s="189"/>
      <c r="J485" s="189"/>
      <c r="K485" s="189"/>
      <c r="L485" s="189"/>
      <c r="M485" s="189"/>
      <c r="N485" s="189"/>
      <c r="O485" s="189"/>
      <c r="P485" s="189"/>
      <c r="Q485" s="189"/>
      <c r="R485" s="189"/>
    </row>
    <row r="486" spans="2:18" ht="10.5">
      <c r="B486" s="189"/>
      <c r="C486" s="189"/>
      <c r="D486" s="189"/>
      <c r="E486" s="189"/>
      <c r="F486" s="189"/>
      <c r="H486" s="189"/>
      <c r="I486" s="189"/>
      <c r="J486" s="189"/>
      <c r="K486" s="189"/>
      <c r="L486" s="189"/>
      <c r="M486" s="189"/>
      <c r="N486" s="189"/>
      <c r="O486" s="189"/>
      <c r="P486" s="189"/>
      <c r="Q486" s="189"/>
      <c r="R486" s="189"/>
    </row>
    <row r="487" spans="2:18" ht="10.5">
      <c r="B487" s="189"/>
      <c r="C487" s="189"/>
      <c r="D487" s="189"/>
      <c r="E487" s="189"/>
      <c r="F487" s="189"/>
      <c r="H487" s="189"/>
      <c r="I487" s="189"/>
      <c r="J487" s="189"/>
      <c r="K487" s="189"/>
      <c r="L487" s="189"/>
      <c r="M487" s="189"/>
      <c r="N487" s="189"/>
      <c r="O487" s="189"/>
      <c r="P487" s="189"/>
      <c r="Q487" s="189"/>
      <c r="R487" s="189"/>
    </row>
    <row r="488" spans="2:18" ht="10.5">
      <c r="B488" s="189"/>
      <c r="C488" s="189"/>
      <c r="D488" s="189"/>
      <c r="E488" s="189"/>
      <c r="F488" s="189"/>
      <c r="H488" s="189"/>
      <c r="I488" s="189"/>
      <c r="J488" s="189"/>
      <c r="K488" s="189"/>
      <c r="L488" s="189"/>
      <c r="M488" s="189"/>
      <c r="N488" s="189"/>
      <c r="O488" s="189"/>
      <c r="P488" s="189"/>
      <c r="Q488" s="189"/>
      <c r="R488" s="189"/>
    </row>
    <row r="489" spans="2:6" ht="10.5">
      <c r="B489" s="189"/>
      <c r="C489" s="189"/>
      <c r="D489" s="189"/>
      <c r="E489" s="189"/>
      <c r="F489" s="189"/>
    </row>
  </sheetData>
  <sheetProtection password="CCB6" sheet="1" objects="1" scenarios="1"/>
  <mergeCells count="13">
    <mergeCell ref="H12:J12"/>
    <mergeCell ref="N12:O12"/>
    <mergeCell ref="H7:J7"/>
    <mergeCell ref="H8:J8"/>
    <mergeCell ref="H9:J9"/>
    <mergeCell ref="L12:M12"/>
    <mergeCell ref="K54:O54"/>
    <mergeCell ref="Q54:Q55"/>
    <mergeCell ref="R54:R55"/>
    <mergeCell ref="S57:T59"/>
    <mergeCell ref="O2:P2"/>
    <mergeCell ref="L4:M4"/>
    <mergeCell ref="P12:Q12"/>
  </mergeCells>
  <printOptions/>
  <pageMargins left="0.69" right="0.45" top="0.46" bottom="0.41" header="0.39" footer="0.38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T&amp;P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Storkhorst</dc:creator>
  <cp:keywords/>
  <dc:description/>
  <cp:lastModifiedBy>Bennie Storkhorst</cp:lastModifiedBy>
  <cp:lastPrinted>2003-01-15T09:04:15Z</cp:lastPrinted>
  <dcterms:created xsi:type="dcterms:W3CDTF">2001-05-16T09:20:50Z</dcterms:created>
  <dcterms:modified xsi:type="dcterms:W3CDTF">2013-12-03T13:59:03Z</dcterms:modified>
  <cp:category/>
  <cp:version/>
  <cp:contentType/>
  <cp:contentStatus/>
</cp:coreProperties>
</file>